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filterPrivacy="1" defaultThemeVersion="166925"/>
  <xr:revisionPtr revIDLastSave="78" documentId="8_{A04AE71B-9365-412F-BDDF-0830D4308526}" xr6:coauthVersionLast="47" xr6:coauthVersionMax="47" xr10:uidLastSave="{0EA74CE8-F2CA-4084-9F6D-B8F853C8E744}"/>
  <bookViews>
    <workbookView xWindow="-21825" yWindow="-3525" windowWidth="21840" windowHeight="13740" xr2:uid="{0D581146-8367-4737-B910-1112FDB1BB2E}"/>
  </bookViews>
  <sheets>
    <sheet name="Quote Generator" sheetId="1" r:id="rId1"/>
    <sheet name="Model Pricing" sheetId="2" r:id="rId2"/>
  </sheets>
  <definedNames>
    <definedName name="_xlnm.Print_Area" localSheetId="0">'Quote Generator'!$B$1:$E$71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2" l="1"/>
  <c r="L7" i="2"/>
  <c r="O6" i="2"/>
  <c r="K6" i="2"/>
  <c r="X6" i="2" l="1"/>
  <c r="X7" i="2" s="1"/>
  <c r="I13" i="2" l="1"/>
  <c r="I14" i="2" s="1"/>
  <c r="I15" i="2" s="1"/>
  <c r="J13" i="2"/>
  <c r="J14" i="2" s="1"/>
  <c r="J15" i="2" s="1"/>
  <c r="R13" i="2"/>
  <c r="R14" i="2" s="1"/>
  <c r="R15" i="2" s="1"/>
  <c r="W13" i="2"/>
  <c r="W14" i="2" s="1"/>
  <c r="W15" i="2" s="1"/>
  <c r="V13" i="2"/>
  <c r="V14" i="2" s="1"/>
  <c r="V15" i="2" s="1"/>
  <c r="Q13" i="2"/>
  <c r="Q14" i="2" s="1"/>
  <c r="Q15" i="2" s="1"/>
  <c r="P13" i="2"/>
  <c r="P14" i="2" s="1"/>
  <c r="P15" i="2" s="1"/>
  <c r="O13" i="2"/>
  <c r="O14" i="2" s="1"/>
  <c r="O15" i="2" s="1"/>
  <c r="N13" i="2"/>
  <c r="N14" i="2" s="1"/>
  <c r="N15" i="2" s="1"/>
  <c r="H13" i="2"/>
  <c r="H14" i="2" s="1"/>
  <c r="H15" i="2" s="1"/>
  <c r="G13" i="2"/>
  <c r="G14" i="2" s="1"/>
  <c r="G15" i="2" s="1"/>
  <c r="F13" i="2"/>
  <c r="F14" i="2" s="1"/>
  <c r="F15" i="2" s="1"/>
  <c r="B12" i="2"/>
  <c r="B13" i="2"/>
  <c r="C13" i="2"/>
  <c r="C14" i="2" s="1"/>
  <c r="C15" i="2" s="1"/>
  <c r="D13" i="2"/>
  <c r="D14" i="2" s="1"/>
  <c r="D15" i="2" s="1"/>
  <c r="E13" i="2"/>
  <c r="E14" i="2" s="1"/>
  <c r="E15" i="2" s="1"/>
  <c r="K13" i="2"/>
  <c r="K14" i="2" s="1"/>
  <c r="K15" i="2" s="1"/>
  <c r="L13" i="2"/>
  <c r="L14" i="2" s="1"/>
  <c r="L15" i="2" s="1"/>
  <c r="M13" i="2"/>
  <c r="M14" i="2" s="1"/>
  <c r="M15" i="2" s="1"/>
  <c r="S13" i="2"/>
  <c r="S14" i="2" s="1"/>
  <c r="S15" i="2" s="1"/>
  <c r="T13" i="2"/>
  <c r="T14" i="2" s="1"/>
  <c r="T15" i="2" s="1"/>
  <c r="U13" i="2"/>
  <c r="U14" i="2" s="1"/>
  <c r="U15" i="2" s="1"/>
  <c r="Z5" i="2"/>
  <c r="O5" i="2"/>
  <c r="H5" i="2"/>
  <c r="G5" i="2"/>
  <c r="Z4" i="2"/>
  <c r="W5" i="2"/>
  <c r="W6" i="2" s="1"/>
  <c r="V5" i="2"/>
  <c r="V6" i="2" s="1"/>
  <c r="U5" i="2"/>
  <c r="U6" i="2" s="1"/>
  <c r="T5" i="2"/>
  <c r="T6" i="2" s="1"/>
  <c r="S5" i="2"/>
  <c r="S6" i="2" s="1"/>
  <c r="R5" i="2"/>
  <c r="R6" i="2" s="1"/>
  <c r="Q5" i="2"/>
  <c r="Q6" i="2" s="1"/>
  <c r="P5" i="2"/>
  <c r="P6" i="2" s="1"/>
  <c r="M5" i="2"/>
  <c r="N5" i="2" s="1"/>
  <c r="N6" i="2" s="1"/>
  <c r="L5" i="2"/>
  <c r="K5" i="2"/>
  <c r="J5" i="2"/>
  <c r="J6" i="2" s="1"/>
  <c r="I5" i="2"/>
  <c r="F5" i="2"/>
  <c r="E5" i="2"/>
  <c r="D5" i="2"/>
  <c r="C5" i="2"/>
  <c r="E27" i="1"/>
  <c r="D27" i="1"/>
  <c r="L68" i="2"/>
  <c r="L69" i="2" s="1"/>
  <c r="L70" i="2" s="1"/>
  <c r="I68" i="2"/>
  <c r="I69" i="2" s="1"/>
  <c r="I70" i="2" s="1"/>
  <c r="F68" i="2"/>
  <c r="F69" i="2" s="1"/>
  <c r="F70" i="2" s="1"/>
  <c r="C68" i="2"/>
  <c r="C69" i="2" s="1"/>
  <c r="C70" i="2" s="1"/>
  <c r="C59" i="2"/>
  <c r="C60" i="2" s="1"/>
  <c r="C61" i="2" s="1"/>
  <c r="C49" i="2"/>
  <c r="C50" i="2" s="1"/>
  <c r="C51" i="2" s="1"/>
  <c r="L40" i="2"/>
  <c r="L41" i="2" s="1"/>
  <c r="L42" i="2" s="1"/>
  <c r="I40" i="2"/>
  <c r="I41" i="2" s="1"/>
  <c r="I42" i="2" s="1"/>
  <c r="F40" i="2"/>
  <c r="F41" i="2" s="1"/>
  <c r="F42" i="2" s="1"/>
  <c r="C40" i="2"/>
  <c r="C41" i="2" s="1"/>
  <c r="C42" i="2" s="1"/>
  <c r="L31" i="2"/>
  <c r="L32" i="2" s="1"/>
  <c r="L33" i="2" s="1"/>
  <c r="I31" i="2"/>
  <c r="I32" i="2" s="1"/>
  <c r="I33" i="2" s="1"/>
  <c r="F31" i="2"/>
  <c r="F32" i="2" s="1"/>
  <c r="F33" i="2" s="1"/>
  <c r="C31" i="2"/>
  <c r="C32" i="2" s="1"/>
  <c r="C33" i="2" s="1"/>
  <c r="C21" i="2"/>
  <c r="C22" i="2" s="1"/>
  <c r="C23" i="2" s="1"/>
  <c r="C16" i="1"/>
  <c r="C27" i="1" l="1"/>
  <c r="B27" i="1"/>
  <c r="D26" i="1"/>
  <c r="E26" i="1" s="1"/>
  <c r="B61" i="2"/>
  <c r="B60" i="2"/>
  <c r="B59" i="2"/>
  <c r="B58" i="2"/>
  <c r="E28" i="1" l="1"/>
  <c r="C12" i="1"/>
  <c r="C116" i="2" s="1"/>
  <c r="C115" i="2" l="1"/>
  <c r="A115" i="2"/>
  <c r="A123" i="2" s="1"/>
  <c r="K113" i="2"/>
  <c r="J113" i="2"/>
  <c r="I122" i="2" s="1"/>
  <c r="E107" i="2" s="1"/>
  <c r="I113" i="2"/>
  <c r="H122" i="2" s="1"/>
  <c r="E106" i="2" s="1"/>
  <c r="H113" i="2"/>
  <c r="G122" i="2" s="1"/>
  <c r="E105" i="2" s="1"/>
  <c r="G113" i="2"/>
  <c r="F113" i="2"/>
  <c r="E122" i="2" s="1"/>
  <c r="E103" i="2" s="1"/>
  <c r="T102" i="2"/>
  <c r="L102" i="2"/>
  <c r="E102" i="2"/>
  <c r="M98" i="2"/>
  <c r="I98" i="2"/>
  <c r="H98" i="2"/>
  <c r="G98" i="2"/>
  <c r="E98" i="2"/>
  <c r="F67" i="1" s="1"/>
  <c r="M97" i="2"/>
  <c r="I97" i="2"/>
  <c r="H97" i="2"/>
  <c r="G97" i="2"/>
  <c r="E97" i="2"/>
  <c r="M96" i="2"/>
  <c r="I96" i="2"/>
  <c r="H96" i="2"/>
  <c r="G96" i="2"/>
  <c r="E96" i="2"/>
  <c r="F65" i="1" s="1"/>
  <c r="M95" i="2"/>
  <c r="I95" i="2"/>
  <c r="H95" i="2"/>
  <c r="G95" i="2"/>
  <c r="E95" i="2"/>
  <c r="F64" i="1" s="1"/>
  <c r="M94" i="2"/>
  <c r="I94" i="2"/>
  <c r="H94" i="2"/>
  <c r="G94" i="2"/>
  <c r="E94" i="2"/>
  <c r="M93" i="2"/>
  <c r="I93" i="2"/>
  <c r="H93" i="2"/>
  <c r="G93" i="2"/>
  <c r="E93" i="2"/>
  <c r="F62" i="1" s="1"/>
  <c r="M92" i="2"/>
  <c r="I92" i="2"/>
  <c r="H92" i="2"/>
  <c r="G92" i="2"/>
  <c r="E92" i="2"/>
  <c r="F61" i="1" s="1"/>
  <c r="M91" i="2"/>
  <c r="I91" i="2"/>
  <c r="H91" i="2"/>
  <c r="G91" i="2"/>
  <c r="E91" i="2"/>
  <c r="F60" i="1" s="1"/>
  <c r="M90" i="2"/>
  <c r="I90" i="2"/>
  <c r="H90" i="2"/>
  <c r="G90" i="2"/>
  <c r="E90" i="2"/>
  <c r="F59" i="1" s="1"/>
  <c r="M89" i="2"/>
  <c r="I89" i="2"/>
  <c r="H89" i="2"/>
  <c r="G89" i="2"/>
  <c r="E89" i="2"/>
  <c r="F58" i="1" s="1"/>
  <c r="M88" i="2"/>
  <c r="K88" i="2"/>
  <c r="H88" i="2"/>
  <c r="G88" i="2"/>
  <c r="E88" i="2"/>
  <c r="M87" i="2"/>
  <c r="H87" i="2"/>
  <c r="G87" i="2"/>
  <c r="E87" i="2"/>
  <c r="F56" i="1" s="1"/>
  <c r="M86" i="2"/>
  <c r="H86" i="2"/>
  <c r="G86" i="2"/>
  <c r="E86" i="2"/>
  <c r="M85" i="2"/>
  <c r="H85" i="2"/>
  <c r="G85" i="2"/>
  <c r="E85" i="2"/>
  <c r="F54" i="1" s="1"/>
  <c r="M84" i="2"/>
  <c r="H84" i="2"/>
  <c r="G84" i="2"/>
  <c r="E84" i="2"/>
  <c r="F53" i="1" s="1"/>
  <c r="M83" i="2"/>
  <c r="H83" i="2"/>
  <c r="G83" i="2"/>
  <c r="E83" i="2"/>
  <c r="F52" i="1" s="1"/>
  <c r="M82" i="2"/>
  <c r="H82" i="2"/>
  <c r="G82" i="2"/>
  <c r="E82" i="2"/>
  <c r="M81" i="2"/>
  <c r="H81" i="2"/>
  <c r="G81" i="2"/>
  <c r="E81" i="2"/>
  <c r="F50" i="1" s="1"/>
  <c r="M80" i="2"/>
  <c r="H80" i="2"/>
  <c r="G80" i="2"/>
  <c r="E80" i="2"/>
  <c r="M79" i="2"/>
  <c r="H79" i="2"/>
  <c r="G79" i="2"/>
  <c r="E79" i="2"/>
  <c r="F48" i="1" s="1"/>
  <c r="X78" i="2"/>
  <c r="W78" i="2"/>
  <c r="V78" i="2"/>
  <c r="U78" i="2"/>
  <c r="T78" i="2"/>
  <c r="S78" i="2"/>
  <c r="M78" i="2"/>
  <c r="H78" i="2"/>
  <c r="G78" i="2"/>
  <c r="O77" i="2"/>
  <c r="L77" i="2"/>
  <c r="R77" i="2" s="1"/>
  <c r="K77" i="2"/>
  <c r="Q77" i="2" s="1"/>
  <c r="J77" i="2"/>
  <c r="V77" i="2" s="1"/>
  <c r="I77" i="2"/>
  <c r="U77" i="2" s="1"/>
  <c r="H77" i="2"/>
  <c r="N77" i="2" s="1"/>
  <c r="G77" i="2"/>
  <c r="C47" i="1" s="1"/>
  <c r="B70" i="2"/>
  <c r="B69" i="2"/>
  <c r="B68" i="2"/>
  <c r="B67" i="2"/>
  <c r="B51" i="2"/>
  <c r="K70" i="2" s="1"/>
  <c r="B50" i="2"/>
  <c r="B49" i="2"/>
  <c r="K68" i="2" s="1"/>
  <c r="B48" i="2"/>
  <c r="E67" i="2" s="1"/>
  <c r="B42" i="2"/>
  <c r="E42" i="2" s="1"/>
  <c r="B41" i="2"/>
  <c r="E41" i="2" s="1"/>
  <c r="B40" i="2"/>
  <c r="E40" i="2" s="1"/>
  <c r="B39" i="2"/>
  <c r="H39" i="2" s="1"/>
  <c r="K39" i="2" s="1"/>
  <c r="B33" i="2"/>
  <c r="B32" i="2"/>
  <c r="B31" i="2"/>
  <c r="B30" i="2"/>
  <c r="B23" i="2"/>
  <c r="B22" i="2"/>
  <c r="D16" i="1" s="1"/>
  <c r="B21" i="2"/>
  <c r="B20" i="2"/>
  <c r="B15" i="2"/>
  <c r="H33" i="2" s="1"/>
  <c r="B14" i="2"/>
  <c r="N97" i="2"/>
  <c r="N96" i="2"/>
  <c r="N95" i="2"/>
  <c r="N93" i="2"/>
  <c r="N92" i="2"/>
  <c r="N89" i="2"/>
  <c r="N88" i="2"/>
  <c r="N87" i="2"/>
  <c r="N85" i="2"/>
  <c r="N84" i="2"/>
  <c r="N81" i="2"/>
  <c r="N80" i="2"/>
  <c r="N79" i="2"/>
  <c r="O78" i="2"/>
  <c r="H30" i="2"/>
  <c r="L88" i="2"/>
  <c r="K89" i="2"/>
  <c r="L87" i="2"/>
  <c r="Z7" i="2"/>
  <c r="W7" i="2"/>
  <c r="V7" i="2"/>
  <c r="J97" i="2" s="1"/>
  <c r="U7" i="2"/>
  <c r="J96" i="2" s="1"/>
  <c r="T7" i="2"/>
  <c r="J95" i="2" s="1"/>
  <c r="S7" i="2"/>
  <c r="R7" i="2"/>
  <c r="J93" i="2" s="1"/>
  <c r="Q7" i="2"/>
  <c r="J92" i="2" s="1"/>
  <c r="J91" i="2"/>
  <c r="O7" i="2"/>
  <c r="Z6" i="2"/>
  <c r="L6" i="2"/>
  <c r="M6" i="2" s="1"/>
  <c r="I85" i="2"/>
  <c r="I6" i="2"/>
  <c r="I7" i="2" s="1"/>
  <c r="H6" i="2"/>
  <c r="I83" i="2" s="1"/>
  <c r="G6" i="2"/>
  <c r="F6" i="2"/>
  <c r="F7" i="2" s="1"/>
  <c r="E6" i="2"/>
  <c r="I80" i="2" s="1"/>
  <c r="D6" i="2"/>
  <c r="I79" i="2" s="1"/>
  <c r="C6" i="2"/>
  <c r="C7" i="2" s="1"/>
  <c r="J78" i="2" s="1"/>
  <c r="G67" i="1"/>
  <c r="G66" i="1"/>
  <c r="F66" i="1"/>
  <c r="G65" i="1"/>
  <c r="G64" i="1"/>
  <c r="G63" i="1"/>
  <c r="F63" i="1"/>
  <c r="G62" i="1"/>
  <c r="G61" i="1"/>
  <c r="G60" i="1"/>
  <c r="G59" i="1"/>
  <c r="G58" i="1"/>
  <c r="G57" i="1"/>
  <c r="F57" i="1"/>
  <c r="G56" i="1"/>
  <c r="G55" i="1"/>
  <c r="F55" i="1"/>
  <c r="G54" i="1"/>
  <c r="G53" i="1"/>
  <c r="G52" i="1"/>
  <c r="G51" i="1"/>
  <c r="F51" i="1"/>
  <c r="G50" i="1"/>
  <c r="G49" i="1"/>
  <c r="F49" i="1"/>
  <c r="G48" i="1"/>
  <c r="G47" i="1"/>
  <c r="F47" i="1"/>
  <c r="E33" i="1"/>
  <c r="E32" i="1"/>
  <c r="D22" i="1"/>
  <c r="E22" i="1" s="1"/>
  <c r="D20" i="1"/>
  <c r="E20" i="1" s="1"/>
  <c r="C13" i="1"/>
  <c r="B13" i="1"/>
  <c r="C57" i="1" l="1"/>
  <c r="O115" i="2"/>
  <c r="N115" i="2"/>
  <c r="C124" i="2"/>
  <c r="P87" i="2"/>
  <c r="I87" i="2"/>
  <c r="J87" i="2"/>
  <c r="L91" i="2"/>
  <c r="H68" i="2"/>
  <c r="D7" i="2"/>
  <c r="J79" i="2" s="1"/>
  <c r="E7" i="2"/>
  <c r="J80" i="2" s="1"/>
  <c r="C49" i="1" s="1"/>
  <c r="O92" i="2"/>
  <c r="H42" i="2"/>
  <c r="K42" i="2" s="1"/>
  <c r="H7" i="2"/>
  <c r="L83" i="2" s="1"/>
  <c r="O95" i="2"/>
  <c r="L89" i="2"/>
  <c r="O87" i="2"/>
  <c r="P77" i="2"/>
  <c r="C8" i="1"/>
  <c r="E16" i="1"/>
  <c r="E31" i="1" s="1"/>
  <c r="O84" i="2"/>
  <c r="J7" i="2"/>
  <c r="J85" i="2" s="1"/>
  <c r="P79" i="2"/>
  <c r="O96" i="2"/>
  <c r="E30" i="2"/>
  <c r="H41" i="2"/>
  <c r="K41" i="2" s="1"/>
  <c r="W77" i="2"/>
  <c r="N113" i="2"/>
  <c r="L122" i="2" s="1"/>
  <c r="T122" i="2" s="1"/>
  <c r="T103" i="2" s="1"/>
  <c r="O80" i="2"/>
  <c r="P115" i="2" s="1"/>
  <c r="K30" i="2"/>
  <c r="Q113" i="2"/>
  <c r="X113" i="2" s="1"/>
  <c r="AF113" i="2" s="1"/>
  <c r="K97" i="2"/>
  <c r="P78" i="2"/>
  <c r="I81" i="2"/>
  <c r="R113" i="2"/>
  <c r="P122" i="2" s="1"/>
  <c r="L107" i="2" s="1"/>
  <c r="O85" i="2"/>
  <c r="I78" i="2"/>
  <c r="H70" i="2"/>
  <c r="N78" i="2"/>
  <c r="D64" i="1"/>
  <c r="J84" i="2"/>
  <c r="O83" i="2"/>
  <c r="O91" i="2"/>
  <c r="K80" i="2"/>
  <c r="L80" i="2"/>
  <c r="D47" i="1"/>
  <c r="C64" i="1"/>
  <c r="F15" i="1"/>
  <c r="D51" i="1"/>
  <c r="J81" i="2"/>
  <c r="N82" i="2"/>
  <c r="N90" i="2"/>
  <c r="N98" i="2"/>
  <c r="E39" i="2"/>
  <c r="H67" i="2"/>
  <c r="K67" i="2"/>
  <c r="D65" i="1"/>
  <c r="D57" i="1"/>
  <c r="D49" i="1"/>
  <c r="D61" i="1"/>
  <c r="D53" i="1"/>
  <c r="D55" i="1"/>
  <c r="M77" i="2"/>
  <c r="C66" i="1"/>
  <c r="C58" i="1"/>
  <c r="K32" i="2"/>
  <c r="E32" i="2"/>
  <c r="K92" i="2"/>
  <c r="C61" i="1" s="1"/>
  <c r="L92" i="2"/>
  <c r="T77" i="2"/>
  <c r="N91" i="2"/>
  <c r="O113" i="2"/>
  <c r="F122" i="2"/>
  <c r="E104" i="2" s="1"/>
  <c r="K33" i="2"/>
  <c r="E33" i="2"/>
  <c r="S77" i="2"/>
  <c r="I84" i="2"/>
  <c r="J94" i="2"/>
  <c r="H32" i="2"/>
  <c r="D48" i="1"/>
  <c r="D50" i="1"/>
  <c r="D63" i="1"/>
  <c r="I86" i="2"/>
  <c r="K7" i="2"/>
  <c r="K31" i="2"/>
  <c r="E31" i="2"/>
  <c r="K69" i="2"/>
  <c r="E69" i="2"/>
  <c r="H69" i="2"/>
  <c r="N83" i="2"/>
  <c r="K87" i="2"/>
  <c r="C56" i="1" s="1"/>
  <c r="D59" i="1"/>
  <c r="D54" i="1"/>
  <c r="D67" i="1"/>
  <c r="N86" i="2"/>
  <c r="N94" i="2"/>
  <c r="H31" i="2"/>
  <c r="X77" i="2"/>
  <c r="D52" i="1"/>
  <c r="D58" i="1"/>
  <c r="H40" i="2"/>
  <c r="K40" i="2" s="1"/>
  <c r="D56" i="1"/>
  <c r="D62" i="1"/>
  <c r="J90" i="2"/>
  <c r="K90" i="2"/>
  <c r="C59" i="1" s="1"/>
  <c r="J122" i="2"/>
  <c r="E108" i="2" s="1"/>
  <c r="S113" i="2"/>
  <c r="J98" i="2"/>
  <c r="D60" i="1"/>
  <c r="D66" i="1"/>
  <c r="I82" i="2"/>
  <c r="G7" i="2"/>
  <c r="P113" i="2"/>
  <c r="E68" i="2"/>
  <c r="E70" i="2"/>
  <c r="D19" i="1" l="1"/>
  <c r="E19" i="1" s="1"/>
  <c r="E57" i="1"/>
  <c r="O88" i="2"/>
  <c r="M7" i="2"/>
  <c r="I88" i="2"/>
  <c r="O122" i="2"/>
  <c r="W122" i="2" s="1"/>
  <c r="T106" i="2" s="1"/>
  <c r="J83" i="2"/>
  <c r="C52" i="1" s="1"/>
  <c r="E52" i="1" s="1"/>
  <c r="D30" i="1"/>
  <c r="E30" i="1" s="1"/>
  <c r="E34" i="1" s="1"/>
  <c r="D23" i="1"/>
  <c r="E23" i="1" s="1"/>
  <c r="D21" i="1"/>
  <c r="E21" i="1" s="1"/>
  <c r="B115" i="2"/>
  <c r="B123" i="2" s="1"/>
  <c r="K85" i="2"/>
  <c r="C54" i="1" s="1"/>
  <c r="E54" i="1" s="1"/>
  <c r="K91" i="2"/>
  <c r="C60" i="1" s="1"/>
  <c r="E60" i="1" s="1"/>
  <c r="P95" i="2"/>
  <c r="Y113" i="2"/>
  <c r="AG113" i="2" s="1"/>
  <c r="P92" i="2"/>
  <c r="X122" i="2"/>
  <c r="T107" i="2" s="1"/>
  <c r="K83" i="2"/>
  <c r="K95" i="2"/>
  <c r="L95" i="2"/>
  <c r="P96" i="2"/>
  <c r="L90" i="2"/>
  <c r="Q79" i="2"/>
  <c r="P84" i="2"/>
  <c r="P80" i="2"/>
  <c r="Q115" i="2" s="1"/>
  <c r="L103" i="2"/>
  <c r="U113" i="2"/>
  <c r="AC113" i="2" s="1"/>
  <c r="E58" i="1"/>
  <c r="P85" i="2"/>
  <c r="L97" i="2"/>
  <c r="O79" i="2"/>
  <c r="E61" i="1"/>
  <c r="E64" i="1"/>
  <c r="E56" i="1"/>
  <c r="E49" i="1"/>
  <c r="K98" i="2"/>
  <c r="C67" i="1" s="1"/>
  <c r="E67" i="1" s="1"/>
  <c r="L98" i="2"/>
  <c r="K93" i="2"/>
  <c r="C62" i="1" s="1"/>
  <c r="E62" i="1" s="1"/>
  <c r="L93" i="2"/>
  <c r="K84" i="2"/>
  <c r="C53" i="1" s="1"/>
  <c r="E53" i="1" s="1"/>
  <c r="L84" i="2"/>
  <c r="W113" i="2"/>
  <c r="AE113" i="2" s="1"/>
  <c r="N122" i="2"/>
  <c r="O93" i="2"/>
  <c r="E66" i="1"/>
  <c r="O90" i="2"/>
  <c r="J82" i="2"/>
  <c r="Q122" i="2"/>
  <c r="Z113" i="2"/>
  <c r="AH113" i="2" s="1"/>
  <c r="J86" i="2"/>
  <c r="Q78" i="2"/>
  <c r="R78" i="2"/>
  <c r="Q87" i="2"/>
  <c r="R87" i="2"/>
  <c r="O82" i="2"/>
  <c r="K96" i="2"/>
  <c r="C65" i="1" s="1"/>
  <c r="E65" i="1" s="1"/>
  <c r="L96" i="2"/>
  <c r="C123" i="2"/>
  <c r="P91" i="2"/>
  <c r="E59" i="1"/>
  <c r="O81" i="2"/>
  <c r="K79" i="2"/>
  <c r="C48" i="1" s="1"/>
  <c r="E48" i="1" s="1"/>
  <c r="L79" i="2"/>
  <c r="P83" i="2"/>
  <c r="O94" i="2"/>
  <c r="L94" i="2"/>
  <c r="K94" i="2"/>
  <c r="C63" i="1" s="1"/>
  <c r="E63" i="1" s="1"/>
  <c r="O89" i="2"/>
  <c r="P88" i="2"/>
  <c r="K78" i="2"/>
  <c r="E47" i="1" s="1"/>
  <c r="L78" i="2"/>
  <c r="O97" i="2"/>
  <c r="K81" i="2"/>
  <c r="C50" i="1" s="1"/>
  <c r="E50" i="1" s="1"/>
  <c r="L81" i="2"/>
  <c r="O86" i="2"/>
  <c r="M122" i="2"/>
  <c r="V113" i="2"/>
  <c r="AD113" i="2" s="1"/>
  <c r="O98" i="2"/>
  <c r="J88" i="2" l="1"/>
  <c r="N7" i="2"/>
  <c r="J89" i="2" s="1"/>
  <c r="L106" i="2"/>
  <c r="L85" i="2"/>
  <c r="R79" i="2"/>
  <c r="E24" i="1"/>
  <c r="H115" i="2" a="1"/>
  <c r="H115" i="2" s="1"/>
  <c r="H116" i="2" s="1"/>
  <c r="I115" i="2" a="1"/>
  <c r="I115" i="2" s="1"/>
  <c r="I116" i="2" s="1"/>
  <c r="F115" i="2" a="1"/>
  <c r="F115" i="2" s="1"/>
  <c r="F116" i="2" s="1"/>
  <c r="G115" i="2" a="1"/>
  <c r="G115" i="2" s="1"/>
  <c r="G116" i="2" s="1"/>
  <c r="R80" i="2"/>
  <c r="S115" i="2" s="1"/>
  <c r="R85" i="2"/>
  <c r="N116" i="2"/>
  <c r="M103" i="2"/>
  <c r="L123" i="2"/>
  <c r="P82" i="2"/>
  <c r="R92" i="2"/>
  <c r="Q92" i="2"/>
  <c r="P90" i="2"/>
  <c r="M123" i="2"/>
  <c r="O116" i="2"/>
  <c r="M104" i="2"/>
  <c r="P97" i="2"/>
  <c r="P89" i="2"/>
  <c r="Q91" i="2"/>
  <c r="R91" i="2"/>
  <c r="U122" i="2"/>
  <c r="T104" i="2" s="1"/>
  <c r="L104" i="2"/>
  <c r="Q95" i="2"/>
  <c r="R95" i="2"/>
  <c r="P94" i="2"/>
  <c r="R88" i="2"/>
  <c r="Q88" i="2"/>
  <c r="Q83" i="2"/>
  <c r="R83" i="2"/>
  <c r="P98" i="2"/>
  <c r="O123" i="2"/>
  <c r="Q116" i="2"/>
  <c r="M106" i="2"/>
  <c r="P86" i="2"/>
  <c r="P81" i="2"/>
  <c r="R84" i="2"/>
  <c r="Q84" i="2"/>
  <c r="L108" i="2"/>
  <c r="Y122" i="2"/>
  <c r="T108" i="2" s="1"/>
  <c r="L82" i="2"/>
  <c r="K82" i="2"/>
  <c r="J115" i="2" s="1" a="1"/>
  <c r="J115" i="2" s="1"/>
  <c r="R96" i="2"/>
  <c r="Q96" i="2"/>
  <c r="L86" i="2"/>
  <c r="K115" i="2" s="1" a="1"/>
  <c r="K115" i="2" s="1"/>
  <c r="K86" i="2"/>
  <c r="C55" i="1" s="1"/>
  <c r="E55" i="1" s="1"/>
  <c r="P93" i="2"/>
  <c r="N123" i="2"/>
  <c r="M105" i="2"/>
  <c r="P116" i="2"/>
  <c r="V122" i="2"/>
  <c r="T105" i="2" s="1"/>
  <c r="L105" i="2"/>
  <c r="D15" i="1" l="1"/>
  <c r="E15" i="1" s="1"/>
  <c r="E17" i="1" s="1"/>
  <c r="W115" i="2"/>
  <c r="AE115" i="2" s="1"/>
  <c r="AE116" i="2" s="1"/>
  <c r="X115" i="2"/>
  <c r="H123" i="2" s="1"/>
  <c r="V115" i="2"/>
  <c r="AD115" i="2" s="1"/>
  <c r="AD116" i="2" s="1"/>
  <c r="U115" i="2"/>
  <c r="U116" i="2" s="1"/>
  <c r="Q80" i="2"/>
  <c r="Q85" i="2"/>
  <c r="Q123" i="2"/>
  <c r="M108" i="2"/>
  <c r="S116" i="2"/>
  <c r="R93" i="2"/>
  <c r="Q93" i="2"/>
  <c r="Q94" i="2"/>
  <c r="R94" i="2"/>
  <c r="Q97" i="2"/>
  <c r="R97" i="2"/>
  <c r="R81" i="2"/>
  <c r="Q81" i="2"/>
  <c r="Q98" i="2"/>
  <c r="R98" i="2"/>
  <c r="Q82" i="2"/>
  <c r="R82" i="2"/>
  <c r="K116" i="2"/>
  <c r="Z115" i="2"/>
  <c r="Q86" i="2"/>
  <c r="R86" i="2"/>
  <c r="C51" i="1"/>
  <c r="E51" i="1" s="1"/>
  <c r="E68" i="1" s="1"/>
  <c r="R89" i="2"/>
  <c r="Q89" i="2"/>
  <c r="Q90" i="2"/>
  <c r="R90" i="2"/>
  <c r="R115" i="2" l="1"/>
  <c r="R116" i="2" s="1"/>
  <c r="F123" i="2"/>
  <c r="U123" i="2" s="1"/>
  <c r="U104" i="2" s="1"/>
  <c r="AF115" i="2"/>
  <c r="AF116" i="2" s="1"/>
  <c r="G123" i="2"/>
  <c r="V123" i="2" s="1"/>
  <c r="U105" i="2" s="1"/>
  <c r="W116" i="2"/>
  <c r="E123" i="2"/>
  <c r="T123" i="2" s="1"/>
  <c r="U103" i="2" s="1"/>
  <c r="AC115" i="2"/>
  <c r="AC116" i="2" s="1"/>
  <c r="X116" i="2"/>
  <c r="V116" i="2"/>
  <c r="M107" i="2"/>
  <c r="P123" i="2"/>
  <c r="J123" i="2"/>
  <c r="Z116" i="2"/>
  <c r="AH115" i="2"/>
  <c r="AH116" i="2" s="1"/>
  <c r="F106" i="2"/>
  <c r="W123" i="2"/>
  <c r="U106" i="2" s="1"/>
  <c r="J116" i="2"/>
  <c r="Y115" i="2"/>
  <c r="F105" i="2" l="1"/>
  <c r="F103" i="2"/>
  <c r="F104" i="2"/>
  <c r="Y123" i="2"/>
  <c r="U108" i="2" s="1"/>
  <c r="F108" i="2"/>
  <c r="I123" i="2"/>
  <c r="Y116" i="2"/>
  <c r="AG115" i="2"/>
  <c r="AG116" i="2" s="1"/>
  <c r="X123" i="2" l="1"/>
  <c r="U107" i="2" s="1"/>
  <c r="F107" i="2"/>
  <c r="E12" i="1" s="1"/>
  <c r="E13" i="1" l="1"/>
  <c r="E36" i="1" l="1"/>
  <c r="E37" i="1" l="1"/>
  <c r="E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6" authorId="0" shapeId="0" xr:uid="{990C2C0D-6BFC-433D-A57A-5F55F5F10E6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Must be set to yes if a local integration is in place</t>
        </r>
      </text>
    </comment>
  </commentList>
</comments>
</file>

<file path=xl/sharedStrings.xml><?xml version="1.0" encoding="utf-8"?>
<sst xmlns="http://schemas.openxmlformats.org/spreadsheetml/2006/main" count="250" uniqueCount="158">
  <si>
    <r>
      <rPr>
        <sz val="11"/>
        <rFont val="Calibri"/>
        <family val="2"/>
        <scheme val="minor"/>
      </rPr>
      <t>This version was released on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05/11/2024 and is effective immediately  </t>
    </r>
    <r>
      <rPr>
        <sz val="11"/>
        <rFont val="Calibri"/>
        <family val="2"/>
        <scheme val="minor"/>
      </rPr>
      <t>this replaces all previous versions</t>
    </r>
  </si>
  <si>
    <t>This calculator is for information only and does not form a commercial quote.  Formal quotes are available from SIMSpartnermanagement@parentpay.com</t>
  </si>
  <si>
    <t>Instructions</t>
  </si>
  <si>
    <t>Technical Integrator Pricing Calculator</t>
  </si>
  <si>
    <t>You can alter the green cells to determine your costs</t>
  </si>
  <si>
    <t>Model Period</t>
  </si>
  <si>
    <t>2024/2025</t>
  </si>
  <si>
    <t>Choose the date range you are modelling</t>
  </si>
  <si>
    <t xml:space="preserve">Integrator Name </t>
  </si>
  <si>
    <t>Enter your company name</t>
  </si>
  <si>
    <t>Model Type</t>
  </si>
  <si>
    <t>Integrator Type</t>
  </si>
  <si>
    <t>Integrator</t>
  </si>
  <si>
    <t>Choose your integration type</t>
  </si>
  <si>
    <t>Per site Charges</t>
  </si>
  <si>
    <t>No of Sites</t>
  </si>
  <si>
    <t>Unit Price</t>
  </si>
  <si>
    <t>Cost</t>
  </si>
  <si>
    <t>Centralised Web based APIs – SIMS ID,  SIMS Finance etc</t>
  </si>
  <si>
    <t>See breakdown below</t>
  </si>
  <si>
    <t xml:space="preserve">Enter how many sites you will serve using our Web integration </t>
  </si>
  <si>
    <t>SIMS 7, FMS6 - Local API access Site Charge - R/W API</t>
  </si>
  <si>
    <t>Enter how many sites you will serve using Local Integrations</t>
  </si>
  <si>
    <t>Total Per-site per annum charge</t>
  </si>
  <si>
    <t>Total Per Site Per Annum Charge</t>
  </si>
  <si>
    <t>Support Option</t>
  </si>
  <si>
    <t>Option</t>
  </si>
  <si>
    <t>Support Required</t>
  </si>
  <si>
    <t>YES</t>
  </si>
  <si>
    <t>Local Integration uplift</t>
  </si>
  <si>
    <t>Must be set to yes if a local integration is used, waived if less than 50 sites</t>
  </si>
  <si>
    <t>Aggregator Uplift in effect</t>
  </si>
  <si>
    <t>Total  Per Annum Support Charge</t>
  </si>
  <si>
    <t>Leased Software</t>
  </si>
  <si>
    <t>Leased copy of SIMS 7 Inc. 1 data set</t>
  </si>
  <si>
    <t>Do you require a copy of SIMS 7 and one copy of data for development purposes?</t>
  </si>
  <si>
    <t>Additional SIMS 7 Data set</t>
  </si>
  <si>
    <t>Do you require additional data sets?</t>
  </si>
  <si>
    <t>Leased copy of FMS 6 Inc. 1 data set</t>
  </si>
  <si>
    <t>NO</t>
  </si>
  <si>
    <t>Do you require a copy of FMS 6 and one copy of data for development purposes?</t>
  </si>
  <si>
    <t>Additional FMS Data set</t>
  </si>
  <si>
    <t>Leased copy of SIMS Finance</t>
  </si>
  <si>
    <t>Do you require Access to SIMS Finance and one copy of data for development purposes?</t>
  </si>
  <si>
    <t>Total  Per Annum Leased Software Charge</t>
  </si>
  <si>
    <t>Specialist integrations</t>
  </si>
  <si>
    <t>HR Assistant</t>
  </si>
  <si>
    <t>Total  Additional Services Charge</t>
  </si>
  <si>
    <t>Additional Services</t>
  </si>
  <si>
    <t>Consultancy days required</t>
  </si>
  <si>
    <t>Do you require any Consultancy services.</t>
  </si>
  <si>
    <t>Removal of local uplift.</t>
  </si>
  <si>
    <t>For ESS use only.</t>
  </si>
  <si>
    <t>TOTAL CHARGES ex VAT</t>
  </si>
  <si>
    <t xml:space="preserve"> </t>
  </si>
  <si>
    <t>Vat @20%</t>
  </si>
  <si>
    <t>Inc</t>
  </si>
  <si>
    <t xml:space="preserve">This is not an official quotation. </t>
  </si>
  <si>
    <t>Printing this file will provide two pages.  Page 1 will print the model and page 2 will print</t>
  </si>
  <si>
    <t>An official quotation must be requested from partner.management@educationsoftwaresolutions.co.uk</t>
  </si>
  <si>
    <t>the break down of costs.</t>
  </si>
  <si>
    <t>Per site charges break down</t>
  </si>
  <si>
    <t>Site Charges</t>
  </si>
  <si>
    <t>Band</t>
  </si>
  <si>
    <t>Unit price</t>
  </si>
  <si>
    <t>Units</t>
  </si>
  <si>
    <t>TOTAL</t>
  </si>
  <si>
    <t>Band size</t>
  </si>
  <si>
    <t>Band threshold</t>
  </si>
  <si>
    <t>1-10</t>
  </si>
  <si>
    <t>11-100</t>
  </si>
  <si>
    <t>101-1000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</si>
  <si>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</si>
  <si>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</si>
  <si>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</si>
  <si>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</si>
  <si>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</si>
  <si>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</si>
  <si>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</si>
  <si>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</si>
  <si>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</si>
  <si>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</si>
  <si>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</si>
  <si>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</si>
  <si>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</si>
  <si>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</si>
  <si>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</si>
  <si>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</si>
  <si>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</si>
  <si>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18001-22000</t>
  </si>
  <si>
    <t>Integration Per site</t>
  </si>
  <si>
    <t>This relates to Aggregators only</t>
  </si>
  <si>
    <t>&lt;10 explorers</t>
  </si>
  <si>
    <t>nfp/STARTUPS &gt;10</t>
  </si>
  <si>
    <t xml:space="preserve"> Technical &gt;100</t>
  </si>
  <si>
    <t xml:space="preserve"> Technical &gt;1000</t>
  </si>
  <si>
    <t xml:space="preserve"> Technical &gt;2000</t>
  </si>
  <si>
    <t xml:space="preserve"> Technical &gt;3000</t>
  </si>
  <si>
    <t xml:space="preserve"> Technical &gt;4000</t>
  </si>
  <si>
    <t>Technical &gt;5000</t>
  </si>
  <si>
    <t>Technical &gt;6000</t>
  </si>
  <si>
    <t>technical &gt;7000</t>
  </si>
  <si>
    <t>Technical &gt;8000</t>
  </si>
  <si>
    <t>Technical &gt;9000</t>
  </si>
  <si>
    <t>Technical &gt;10000</t>
  </si>
  <si>
    <t>Technical &gt;11000</t>
  </si>
  <si>
    <t>Technical &gt;12000</t>
  </si>
  <si>
    <t>Technical &gt;13000</t>
  </si>
  <si>
    <t>Technical &gt;14000</t>
  </si>
  <si>
    <t>Technical &gt;15000</t>
  </si>
  <si>
    <t>Technical &gt;16000</t>
  </si>
  <si>
    <t>Technical &gt;17000</t>
  </si>
  <si>
    <t>Technical &gt;18000</t>
  </si>
  <si>
    <t>Base CAP</t>
  </si>
  <si>
    <t>Aggregator uplift</t>
  </si>
  <si>
    <t>Aggregator CAP</t>
  </si>
  <si>
    <t>This section contains selection values</t>
  </si>
  <si>
    <t>Min sites for band</t>
  </si>
  <si>
    <t>on per site charges</t>
  </si>
  <si>
    <t>Choose Type</t>
  </si>
  <si>
    <t>Binary</t>
  </si>
  <si>
    <t>number</t>
  </si>
  <si>
    <t>2025/2026</t>
  </si>
  <si>
    <t>School / Academy</t>
  </si>
  <si>
    <t>2026/2027</t>
  </si>
  <si>
    <t>MAT / LA</t>
  </si>
  <si>
    <t>2027/2028</t>
  </si>
  <si>
    <t>Aggregator</t>
  </si>
  <si>
    <t xml:space="preserve">Support </t>
  </si>
  <si>
    <t>Integrator &lt;100</t>
  </si>
  <si>
    <t>Integrator &gt;100</t>
  </si>
  <si>
    <t>Support Uplift for S7</t>
  </si>
  <si>
    <t>Support is mandatory at:</t>
  </si>
  <si>
    <t>Sites</t>
  </si>
  <si>
    <t>Support uplift kicks in at the same level</t>
  </si>
  <si>
    <t>Consultancy</t>
  </si>
  <si>
    <t>integrator &lt;100</t>
  </si>
  <si>
    <t xml:space="preserve">LA / MAT </t>
  </si>
  <si>
    <t>Integrators</t>
  </si>
  <si>
    <t>Aggregators</t>
  </si>
  <si>
    <t>Software / env</t>
  </si>
  <si>
    <t>Additional Data per set</t>
  </si>
  <si>
    <t>ALL</t>
  </si>
  <si>
    <t>HR ASSIST</t>
  </si>
  <si>
    <t>UNUSED</t>
  </si>
  <si>
    <t>PER SITE</t>
  </si>
  <si>
    <t>Support</t>
  </si>
  <si>
    <t>band size</t>
  </si>
  <si>
    <t>Break pt.</t>
  </si>
  <si>
    <t xml:space="preserve">DON’T CHANGE </t>
  </si>
  <si>
    <t>Per site only</t>
  </si>
  <si>
    <t>SITE CHARGES SUBTOTAL Charge</t>
  </si>
  <si>
    <t>TOAL</t>
  </si>
  <si>
    <t>TI</t>
  </si>
  <si>
    <t>Type</t>
  </si>
  <si>
    <t>Number of sites</t>
  </si>
  <si>
    <t>Estimate</t>
  </si>
  <si>
    <t>For the purpose of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</si>
</sst>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wrapText="1"/>
    </xf>
    <xf numFmtId="0" fontId="0" fillId="3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0" xfId="0" applyFont="1"/>
    <xf numFmtId="0" fontId="2" fillId="2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" fillId="2" borderId="0" xfId="0" applyFont="1" applyFill="1" applyAlignment="1">
      <alignment wrapText="1"/>
    </xf>
    <xf numFmtId="0" fontId="0" fillId="3" borderId="8" xfId="0" applyFill="1" applyBorder="1" applyAlignment="1" applyProtection="1">
      <alignment wrapText="1"/>
      <protection locked="0"/>
    </xf>
    <xf numFmtId="0" fontId="5" fillId="2" borderId="9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10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44" fontId="0" fillId="4" borderId="8" xfId="1" applyFont="1" applyFill="1" applyBorder="1" applyAlignment="1">
      <alignment wrapText="1"/>
    </xf>
    <xf numFmtId="44" fontId="0" fillId="4" borderId="12" xfId="0" applyNumberForma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0" borderId="8" xfId="0" applyBorder="1" applyAlignment="1">
      <alignment wrapText="1"/>
    </xf>
    <xf numFmtId="44" fontId="0" fillId="0" borderId="13" xfId="0" applyNumberFormat="1" applyBorder="1" applyAlignment="1">
      <alignment wrapText="1"/>
    </xf>
    <xf numFmtId="0" fontId="8" fillId="5" borderId="0" xfId="0" applyFont="1" applyFill="1"/>
    <xf numFmtId="9" fontId="4" fillId="0" borderId="11" xfId="2" applyFont="1" applyBorder="1" applyAlignment="1">
      <alignment wrapText="1"/>
    </xf>
    <xf numFmtId="0" fontId="2" fillId="2" borderId="14" xfId="0" applyFont="1" applyFill="1" applyBorder="1" applyAlignment="1">
      <alignment horizontal="right" wrapText="1"/>
    </xf>
    <xf numFmtId="8" fontId="4" fillId="0" borderId="15" xfId="0" applyNumberFormat="1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44" fontId="5" fillId="2" borderId="8" xfId="0" applyNumberFormat="1" applyFont="1" applyFill="1" applyBorder="1" applyAlignment="1">
      <alignment wrapText="1"/>
    </xf>
    <xf numFmtId="0" fontId="5" fillId="2" borderId="16" xfId="0" applyFont="1" applyFill="1" applyBorder="1" applyAlignment="1">
      <alignment wrapText="1"/>
    </xf>
    <xf numFmtId="44" fontId="0" fillId="0" borderId="8" xfId="1" applyFont="1" applyBorder="1" applyAlignment="1">
      <alignment wrapText="1"/>
    </xf>
    <xf numFmtId="44" fontId="0" fillId="0" borderId="12" xfId="1" applyFont="1" applyBorder="1" applyAlignment="1">
      <alignment wrapText="1"/>
    </xf>
    <xf numFmtId="44" fontId="0" fillId="0" borderId="13" xfId="1" applyFont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44" fontId="0" fillId="3" borderId="8" xfId="1" applyFont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5" borderId="0" xfId="0" applyFill="1"/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20" xfId="0" applyFont="1" applyBorder="1" applyAlignment="1">
      <alignment wrapText="1"/>
    </xf>
    <xf numFmtId="8" fontId="0" fillId="0" borderId="15" xfId="0" applyNumberFormat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5" fillId="2" borderId="0" xfId="0" applyFont="1" applyFill="1"/>
    <xf numFmtId="0" fontId="5" fillId="2" borderId="23" xfId="0" applyFont="1" applyFill="1" applyBorder="1" applyAlignment="1">
      <alignment wrapText="1"/>
    </xf>
    <xf numFmtId="49" fontId="0" fillId="0" borderId="8" xfId="0" applyNumberFormat="1" applyBorder="1"/>
    <xf numFmtId="44" fontId="0" fillId="0" borderId="14" xfId="1" applyFont="1" applyBorder="1"/>
    <xf numFmtId="0" fontId="0" fillId="0" borderId="8" xfId="0" applyBorder="1"/>
    <xf numFmtId="44" fontId="0" fillId="0" borderId="8" xfId="0" applyNumberFormat="1" applyBorder="1"/>
    <xf numFmtId="0" fontId="4" fillId="0" borderId="8" xfId="0" applyFont="1" applyBorder="1"/>
    <xf numFmtId="44" fontId="4" fillId="0" borderId="8" xfId="0" applyNumberFormat="1" applyFont="1" applyBorder="1"/>
    <xf numFmtId="0" fontId="4" fillId="0" borderId="0" xfId="0" applyFont="1" applyAlignment="1">
      <alignment horizontal="right"/>
    </xf>
    <xf numFmtId="0" fontId="2" fillId="2" borderId="0" xfId="0" applyFont="1" applyFill="1"/>
    <xf numFmtId="0" fontId="5" fillId="2" borderId="8" xfId="0" applyFont="1" applyFill="1" applyBorder="1"/>
    <xf numFmtId="44" fontId="0" fillId="6" borderId="8" xfId="1" applyFont="1" applyFill="1" applyBorder="1"/>
    <xf numFmtId="9" fontId="0" fillId="6" borderId="8" xfId="2" applyFont="1" applyFill="1" applyBorder="1"/>
    <xf numFmtId="44" fontId="0" fillId="0" borderId="0" xfId="0" applyNumberFormat="1"/>
    <xf numFmtId="44" fontId="0" fillId="0" borderId="14" xfId="0" applyNumberFormat="1" applyBorder="1"/>
    <xf numFmtId="44" fontId="0" fillId="0" borderId="0" xfId="1" applyFont="1" applyBorder="1"/>
    <xf numFmtId="44" fontId="0" fillId="0" borderId="0" xfId="1" applyFont="1" applyFill="1" applyBorder="1"/>
    <xf numFmtId="44" fontId="0" fillId="6" borderId="8" xfId="0" applyNumberFormat="1" applyFill="1" applyBorder="1"/>
    <xf numFmtId="44" fontId="0" fillId="0" borderId="24" xfId="0" applyNumberFormat="1" applyBorder="1"/>
    <xf numFmtId="44" fontId="0" fillId="0" borderId="2" xfId="0" applyNumberFormat="1" applyBorder="1"/>
    <xf numFmtId="0" fontId="0" fillId="0" borderId="2" xfId="0" applyBorder="1"/>
    <xf numFmtId="44" fontId="0" fillId="0" borderId="3" xfId="0" applyNumberFormat="1" applyBorder="1"/>
    <xf numFmtId="0" fontId="5" fillId="7" borderId="0" xfId="0" applyFont="1" applyFill="1"/>
    <xf numFmtId="0" fontId="5" fillId="8" borderId="0" xfId="0" applyFont="1" applyFill="1"/>
    <xf numFmtId="44" fontId="5" fillId="7" borderId="0" xfId="0" applyNumberFormat="1" applyFont="1" applyFill="1"/>
    <xf numFmtId="49" fontId="0" fillId="0" borderId="0" xfId="0" applyNumberFormat="1"/>
    <xf numFmtId="9" fontId="0" fillId="0" borderId="0" xfId="0" applyNumberFormat="1"/>
    <xf numFmtId="0" fontId="0" fillId="0" borderId="24" xfId="0" applyBorder="1"/>
    <xf numFmtId="0" fontId="0" fillId="0" borderId="3" xfId="0" applyBorder="1"/>
    <xf numFmtId="0" fontId="0" fillId="0" borderId="0" xfId="1" applyNumberFormat="1" applyFont="1"/>
    <xf numFmtId="0" fontId="0" fillId="4" borderId="0" xfId="0" applyFill="1"/>
    <xf numFmtId="0" fontId="0" fillId="4" borderId="25" xfId="0" applyFill="1" applyBorder="1"/>
    <xf numFmtId="0" fontId="4" fillId="0" borderId="8" xfId="1" applyNumberFormat="1" applyFont="1" applyBorder="1"/>
    <xf numFmtId="0" fontId="0" fillId="4" borderId="8" xfId="0" applyFill="1" applyBorder="1"/>
    <xf numFmtId="0" fontId="0" fillId="4" borderId="14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0" borderId="28" xfId="0" applyBorder="1"/>
    <xf numFmtId="0" fontId="0" fillId="9" borderId="8" xfId="0" applyFill="1" applyBorder="1"/>
    <xf numFmtId="0" fontId="6" fillId="9" borderId="8" xfId="1" applyNumberFormat="1" applyFont="1" applyFill="1" applyBorder="1"/>
    <xf numFmtId="44" fontId="0" fillId="9" borderId="8" xfId="1" applyFont="1" applyFill="1" applyBorder="1"/>
    <xf numFmtId="44" fontId="0" fillId="9" borderId="14" xfId="1" applyFont="1" applyFill="1" applyBorder="1"/>
    <xf numFmtId="44" fontId="0" fillId="9" borderId="26" xfId="1" applyFont="1" applyFill="1" applyBorder="1"/>
    <xf numFmtId="44" fontId="0" fillId="9" borderId="27" xfId="1" applyFont="1" applyFill="1" applyBorder="1"/>
    <xf numFmtId="44" fontId="0" fillId="9" borderId="29" xfId="1" applyFont="1" applyFill="1" applyBorder="1"/>
    <xf numFmtId="44" fontId="0" fillId="9" borderId="8" xfId="0" applyNumberFormat="1" applyFill="1" applyBorder="1"/>
    <xf numFmtId="0" fontId="3" fillId="0" borderId="8" xfId="1" applyNumberFormat="1" applyFont="1" applyFill="1" applyBorder="1"/>
    <xf numFmtId="44" fontId="0" fillId="4" borderId="8" xfId="0" applyNumberFormat="1" applyFill="1" applyBorder="1"/>
    <xf numFmtId="44" fontId="0" fillId="4" borderId="14" xfId="0" applyNumberFormat="1" applyFill="1" applyBorder="1"/>
    <xf numFmtId="44" fontId="0" fillId="4" borderId="26" xfId="0" applyNumberFormat="1" applyFill="1" applyBorder="1"/>
    <xf numFmtId="44" fontId="0" fillId="4" borderId="27" xfId="0" applyNumberFormat="1" applyFill="1" applyBorder="1"/>
    <xf numFmtId="44" fontId="0" fillId="0" borderId="26" xfId="0" applyNumberFormat="1" applyBorder="1"/>
    <xf numFmtId="44" fontId="0" fillId="0" borderId="27" xfId="0" applyNumberFormat="1" applyBorder="1"/>
    <xf numFmtId="0" fontId="4" fillId="0" borderId="30" xfId="0" applyFont="1" applyBorder="1"/>
    <xf numFmtId="0" fontId="0" fillId="0" borderId="4" xfId="0" applyBorder="1"/>
    <xf numFmtId="0" fontId="0" fillId="0" borderId="5" xfId="0" applyBorder="1"/>
    <xf numFmtId="0" fontId="4" fillId="0" borderId="24" xfId="0" applyFont="1" applyBorder="1"/>
    <xf numFmtId="44" fontId="0" fillId="9" borderId="31" xfId="0" applyNumberFormat="1" applyFill="1" applyBorder="1"/>
    <xf numFmtId="44" fontId="4" fillId="0" borderId="15" xfId="0" applyNumberFormat="1" applyFont="1" applyBorder="1" applyAlignment="1">
      <alignment wrapText="1"/>
    </xf>
    <xf numFmtId="44" fontId="0" fillId="10" borderId="8" xfId="1" applyFont="1" applyFill="1" applyBorder="1" applyAlignment="1">
      <alignment wrapText="1"/>
    </xf>
    <xf numFmtId="0" fontId="0" fillId="10" borderId="8" xfId="0" applyFill="1" applyBorder="1" applyAlignment="1">
      <alignment wrapText="1"/>
    </xf>
    <xf numFmtId="0" fontId="0" fillId="0" borderId="0" xfId="0" applyAlignment="1">
      <alignment horizontal="center"/>
    </xf>
    <xf numFmtId="44" fontId="0" fillId="6" borderId="0" xfId="1" applyFont="1" applyFill="1"/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5" xfId="0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D502-4CF0-4AAA-ACAC-19DFB46F9EC5}">
  <sheetPr>
    <pageSetUpPr fitToPage="1"/>
  </sheetPr>
  <dimension ref="B1:G71"/>
  <sheetViews>
    <sheetView tabSelected="1" topLeftCell="A5" zoomScaleNormal="100" workbookViewId="0">
      <selection activeCell="E32" sqref="E32"/>
    </sheetView>
  </sheetViews>
  <sheetFormatPr defaultRowHeight="15"/>
  <cols>
    <col min="2" max="2" width="31" bestFit="1" customWidth="1"/>
    <col min="3" max="3" width="27.85546875" customWidth="1"/>
    <col min="4" max="4" width="44.5703125" customWidth="1"/>
    <col min="5" max="5" width="34.140625" customWidth="1"/>
    <col min="6" max="6" width="80" customWidth="1"/>
    <col min="7" max="7" width="23.5703125" bestFit="1" customWidth="1"/>
  </cols>
  <sheetData>
    <row r="1" spans="2:6">
      <c r="B1" s="1" t="s">
        <v>0</v>
      </c>
      <c r="C1" s="1"/>
      <c r="D1" s="1"/>
    </row>
    <row r="2" spans="2:6">
      <c r="B2" s="2" t="s">
        <v>1</v>
      </c>
    </row>
    <row r="3" spans="2:6">
      <c r="F3" s="3" t="s">
        <v>2</v>
      </c>
    </row>
    <row r="4" spans="2:6">
      <c r="B4" s="4" t="s">
        <v>3</v>
      </c>
      <c r="F4" s="113" t="s">
        <v>4</v>
      </c>
    </row>
    <row r="5" spans="2:6" ht="15.75" thickBot="1">
      <c r="B5" s="4"/>
    </row>
    <row r="6" spans="2:6">
      <c r="B6" s="5" t="s">
        <v>5</v>
      </c>
      <c r="C6" s="6" t="s">
        <v>6</v>
      </c>
      <c r="D6" s="7"/>
      <c r="E6" s="8"/>
      <c r="F6" s="9" t="s">
        <v>7</v>
      </c>
    </row>
    <row r="7" spans="2:6">
      <c r="B7" s="5" t="s">
        <v>8</v>
      </c>
      <c r="C7" s="115"/>
      <c r="D7" s="115"/>
      <c r="E7" s="116"/>
      <c r="F7" s="9" t="s">
        <v>9</v>
      </c>
    </row>
    <row r="8" spans="2:6">
      <c r="B8" s="10" t="s">
        <v>10</v>
      </c>
      <c r="C8" s="11" t="str">
        <f>IF(E8&lt;&gt;"Integrator",E8,IF(C12&lt;101,"Integrator &lt;100","Integrator &gt;100"))</f>
        <v>Integrator &gt;100</v>
      </c>
      <c r="D8" s="12" t="s">
        <v>11</v>
      </c>
      <c r="E8" s="13" t="s">
        <v>12</v>
      </c>
      <c r="F8" s="9" t="s">
        <v>13</v>
      </c>
    </row>
    <row r="9" spans="2:6">
      <c r="B9" s="14" t="s">
        <v>14</v>
      </c>
      <c r="C9" s="15" t="s">
        <v>15</v>
      </c>
      <c r="D9" s="15" t="s">
        <v>16</v>
      </c>
      <c r="E9" s="16" t="s">
        <v>17</v>
      </c>
      <c r="F9" s="9"/>
    </row>
    <row r="10" spans="2:6" ht="30">
      <c r="B10" s="17" t="s">
        <v>18</v>
      </c>
      <c r="C10" s="13"/>
      <c r="D10" s="18" t="s">
        <v>19</v>
      </c>
      <c r="E10" s="19"/>
      <c r="F10" s="9" t="s">
        <v>20</v>
      </c>
    </row>
    <row r="11" spans="2:6" ht="30.75">
      <c r="B11" s="17" t="s">
        <v>21</v>
      </c>
      <c r="C11" s="13">
        <v>2346</v>
      </c>
      <c r="D11" s="18" t="s">
        <v>19</v>
      </c>
      <c r="E11" s="20"/>
      <c r="F11" s="9" t="s">
        <v>22</v>
      </c>
    </row>
    <row r="12" spans="2:6" ht="15.75" thickBot="1">
      <c r="B12" s="17" t="s">
        <v>23</v>
      </c>
      <c r="C12" s="21">
        <f>SUM(C10:C11)</f>
        <v>2346</v>
      </c>
      <c r="D12" s="18"/>
      <c r="E12" s="22">
        <f>_xlfn.IFNA(INDEX('Model Pricing'!$F103:$F108,MATCH('Quote Generator'!C6,'Model Pricing'!E103:E108,1)),"")</f>
        <v>40850.403300000005</v>
      </c>
      <c r="F12" s="23"/>
    </row>
    <row r="13" spans="2:6" ht="15.75" thickBot="1">
      <c r="B13" s="17" t="str">
        <f>IF(E8='Model Pricing'!AM8,"Multiple data use uplift applied","")</f>
        <v/>
      </c>
      <c r="C13" s="24" t="str">
        <f>IF(E8='Model Pricing'!AM8,_xlfn.IFNA(INDEX('Model Pricing'!$Y4:$Y9,MATCH('Quote Generator'!C6,'Model Pricing'!B4:B9,1)),""),"")</f>
        <v/>
      </c>
      <c r="D13" s="25" t="s">
        <v>24</v>
      </c>
      <c r="E13" s="110">
        <f>E12</f>
        <v>40850.403300000005</v>
      </c>
      <c r="F13" s="23"/>
    </row>
    <row r="14" spans="2:6">
      <c r="B14" s="27" t="s">
        <v>25</v>
      </c>
      <c r="C14" s="28" t="s">
        <v>26</v>
      </c>
      <c r="D14" s="29" t="s">
        <v>16</v>
      </c>
      <c r="E14" s="30" t="s">
        <v>17</v>
      </c>
      <c r="F14" s="23"/>
    </row>
    <row r="15" spans="2:6">
      <c r="B15" s="17" t="s">
        <v>27</v>
      </c>
      <c r="C15" s="13" t="s">
        <v>28</v>
      </c>
      <c r="D15" s="31">
        <f>_xlfn.IFNA(INDEX('Model Pricing'!$M103:$M108,MATCH('Quote Generator'!C6,'Model Pricing'!L103:L108,1)),_xlfn.IFNA(INDEX('Model Pricing'!$M103:$M108,MATCH('Quote Generator'!C6,'Model Pricing'!L103:L108,1)),""))</f>
        <v>4014.6435000000006</v>
      </c>
      <c r="E15" s="32">
        <f>IF(AND(C15="NO",C12&lt;'Model Pricing'!G20),"0",D15)</f>
        <v>4014.6435000000006</v>
      </c>
      <c r="F15" s="9" t="str">
        <f>IF(C12&lt;'Model Pricing'!G20,"Support is otional until you have 50 sites, you can choose to have optional support","Support is mandatory where you have 50 or more sites")</f>
        <v>Support is mandatory where you have 50 or more sites</v>
      </c>
    </row>
    <row r="16" spans="2:6" ht="15.75" thickBot="1">
      <c r="B16" s="17" t="s">
        <v>29</v>
      </c>
      <c r="C16" s="21" t="str">
        <f>IF(C11&gt;50,"YES","NO")</f>
        <v>YES</v>
      </c>
      <c r="D16" s="31">
        <f>IF(AND(C16="YES",C11&gt;10),_xlfn.IFNA(INDEX('Model Pricing'!$C20:$C25,MATCH('Quote Generator'!C6,'Model Pricing'!B20:B25,1)),""),0)</f>
        <v>1146.6000000000001</v>
      </c>
      <c r="E16" s="33">
        <f>IF(C12&lt;'Model Pricing'!G20,"0",D16)</f>
        <v>1146.6000000000001</v>
      </c>
      <c r="F16" s="9" t="s">
        <v>30</v>
      </c>
    </row>
    <row r="17" spans="2:6" ht="15.75" thickBot="1">
      <c r="B17" s="34" t="s">
        <v>31</v>
      </c>
      <c r="C17" s="35"/>
      <c r="D17" s="25" t="s">
        <v>32</v>
      </c>
      <c r="E17" s="26">
        <f>SUM(E15:E16)</f>
        <v>5161.2435000000005</v>
      </c>
      <c r="F17" s="23"/>
    </row>
    <row r="18" spans="2:6">
      <c r="B18" s="27" t="s">
        <v>33</v>
      </c>
      <c r="C18" s="28" t="s">
        <v>26</v>
      </c>
      <c r="D18" s="29" t="s">
        <v>16</v>
      </c>
      <c r="E18" s="30" t="s">
        <v>17</v>
      </c>
      <c r="F18" s="23"/>
    </row>
    <row r="19" spans="2:6" ht="30">
      <c r="B19" s="17" t="s">
        <v>34</v>
      </c>
      <c r="C19" s="13" t="s">
        <v>28</v>
      </c>
      <c r="D19" s="111">
        <f>IF(C19="Yes",IF(C8='Model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1720.5615</v>
      </c>
      <c r="E19" s="32">
        <f>D19</f>
        <v>1720.5615</v>
      </c>
      <c r="F19" s="9" t="s">
        <v>35</v>
      </c>
    </row>
    <row r="20" spans="2:6">
      <c r="B20" s="17" t="s">
        <v>36</v>
      </c>
      <c r="C20" s="13">
        <v>0</v>
      </c>
      <c r="D20" s="31">
        <f>IF(C20&gt;0,_xlfn.IFNA(INDEX('Model Pricing'!$C48:$C53,MATCH('Quote Generator'!C6,'Model Pricing'!B48:B53,1)),""),0)</f>
        <v>0</v>
      </c>
      <c r="E20" s="32">
        <f>D20*C20</f>
        <v>0</v>
      </c>
      <c r="F20" s="9" t="s">
        <v>37</v>
      </c>
    </row>
    <row r="21" spans="2:6" ht="30">
      <c r="B21" s="17" t="s">
        <v>38</v>
      </c>
      <c r="C21" s="13" t="s">
        <v>39</v>
      </c>
      <c r="D21" s="31">
        <f>IF(C21="Yes",IF(C8='Model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0</v>
      </c>
      <c r="E21" s="32">
        <f>D21</f>
        <v>0</v>
      </c>
      <c r="F21" s="9" t="s">
        <v>40</v>
      </c>
    </row>
    <row r="22" spans="2:6">
      <c r="B22" s="17" t="s">
        <v>41</v>
      </c>
      <c r="C22" s="13">
        <v>0</v>
      </c>
      <c r="D22" s="31">
        <f>IF(C22&gt;0,_xlfn.IFNA(INDEX('Model Pricing'!$C48:$C53,MATCH('Quote Generator'!C6,'Model Pricing'!B48:B53,1)),""),0)</f>
        <v>0</v>
      </c>
      <c r="E22" s="32">
        <f>C22*D22</f>
        <v>0</v>
      </c>
      <c r="F22" s="9" t="s">
        <v>37</v>
      </c>
    </row>
    <row r="23" spans="2:6">
      <c r="B23" s="17" t="s">
        <v>42</v>
      </c>
      <c r="C23" s="13" t="s">
        <v>39</v>
      </c>
      <c r="D23" s="31">
        <f>IF(C23="Yes",IF(C8='Model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0</v>
      </c>
      <c r="E23" s="33">
        <f>D23</f>
        <v>0</v>
      </c>
      <c r="F23" s="9" t="s">
        <v>43</v>
      </c>
    </row>
    <row r="24" spans="2:6" ht="15.75" thickBot="1">
      <c r="B24" s="34"/>
      <c r="C24" s="35"/>
      <c r="D24" s="25" t="s">
        <v>44</v>
      </c>
      <c r="E24" s="26">
        <f>SUM(E19:E23)</f>
        <v>1720.5615</v>
      </c>
      <c r="F24" s="23"/>
    </row>
    <row r="25" spans="2:6">
      <c r="B25" s="27" t="s">
        <v>45</v>
      </c>
      <c r="C25" s="28" t="s">
        <v>26</v>
      </c>
      <c r="D25" s="29" t="s">
        <v>16</v>
      </c>
      <c r="E25" s="30" t="s">
        <v>17</v>
      </c>
      <c r="F25" s="23"/>
    </row>
    <row r="26" spans="2:6">
      <c r="B26" s="17" t="s">
        <v>46</v>
      </c>
      <c r="C26" s="13">
        <v>0</v>
      </c>
      <c r="D26" s="31">
        <f>IF(C26&gt;0,_xlfn.IFNA(INDEX('Model Pricing'!$C58:$C63,MATCH('Quote Generator'!C6,'Model Pricing'!B58:B63,1)),""),0)</f>
        <v>0</v>
      </c>
      <c r="E26" s="32">
        <f>C26*D26</f>
        <v>0</v>
      </c>
      <c r="F26" s="23"/>
    </row>
    <row r="27" spans="2:6" ht="15.75" thickBot="1">
      <c r="B27" s="17" t="str">
        <f>IF(C26&gt;20,"Discount for &gt;20 sites","")</f>
        <v/>
      </c>
      <c r="C27" s="112" t="str">
        <f>IF(C26&gt;20,C26-20,"")</f>
        <v/>
      </c>
      <c r="D27" s="31">
        <f>IF(C26&gt;0,-(ROUND(D26,2)*0.2),0)</f>
        <v>0</v>
      </c>
      <c r="E27" s="32" t="str">
        <f>IF(C26&gt;20,C27*ROUND(D27,2),"")</f>
        <v/>
      </c>
      <c r="F27" s="23"/>
    </row>
    <row r="28" spans="2:6" ht="15.75" thickBot="1">
      <c r="B28" s="38"/>
      <c r="C28" s="35"/>
      <c r="D28" s="25" t="s">
        <v>47</v>
      </c>
      <c r="E28" s="26">
        <f>SUM(E25:E27)</f>
        <v>0</v>
      </c>
      <c r="F28" s="23"/>
    </row>
    <row r="29" spans="2:6">
      <c r="B29" s="27" t="s">
        <v>48</v>
      </c>
      <c r="C29" s="28" t="s">
        <v>26</v>
      </c>
      <c r="D29" s="29" t="s">
        <v>16</v>
      </c>
      <c r="E29" s="30" t="s">
        <v>17</v>
      </c>
      <c r="F29" s="23"/>
    </row>
    <row r="30" spans="2:6">
      <c r="B30" s="17" t="s">
        <v>49</v>
      </c>
      <c r="C30" s="13"/>
      <c r="D30" s="31">
        <f>IF(C30&gt;0,IF(C8='Model Pricing'!AM15,_xlfn.IFNA(INDEX('Model Pricing'!$C30:$C35,MATCH('Quote Generator'!C6,'Model Pricing'!B30:B35,1)),""),IF(C8='Model Pricing'!AM16,_xlfn.IFNA(INDEX('Model Pricing'!$F30:$F35,MATCH('Quote Generator'!C6,'Model Pricing'!E30:E35,1)),""),IF(C8='Model Pricing'!AM17,_xlfn.IFNA(INDEX('Model Pricing'!$F30:$F35,MATCH('Quote Generator'!C6,'Model Pricing'!E30:E35,1)),""),IF(C8='Model Pricing'!AM18,_xlfn.IFNA(INDEX('Model Pricing'!$I30:$I35,MATCH('Quote Generator'!C6,'Model Pricing'!H30:H35,1)),""),IF(C8='Model Pricing'!AM19,_xlfn.IFNA(INDEX('Model Pricing'!$L30:$L35,MATCH('Quote Generator'!C6,'Model Pricing'!K30:K35,1)),"")))))),0)</f>
        <v>0</v>
      </c>
      <c r="E30" s="32">
        <f>C30*D30</f>
        <v>0</v>
      </c>
      <c r="F30" s="9" t="s">
        <v>50</v>
      </c>
    </row>
    <row r="31" spans="2:6">
      <c r="B31" s="36" t="s">
        <v>51</v>
      </c>
      <c r="C31" s="13"/>
      <c r="D31" s="37"/>
      <c r="E31" s="32">
        <f>C31*D31</f>
        <v>0</v>
      </c>
      <c r="F31" s="9" t="s">
        <v>52</v>
      </c>
    </row>
    <row r="32" spans="2:6">
      <c r="B32" s="36"/>
      <c r="C32" s="13"/>
      <c r="D32" s="37"/>
      <c r="E32" s="32">
        <f>C32*D32</f>
        <v>0</v>
      </c>
      <c r="F32" s="9" t="s">
        <v>52</v>
      </c>
    </row>
    <row r="33" spans="2:7" ht="15.75" thickBot="1">
      <c r="B33" s="36"/>
      <c r="C33" s="13"/>
      <c r="D33" s="37"/>
      <c r="E33" s="32">
        <f t="shared" ref="E33" si="0">C33*D33</f>
        <v>0</v>
      </c>
      <c r="F33" s="9" t="s">
        <v>52</v>
      </c>
    </row>
    <row r="34" spans="2:7" ht="15.75" thickBot="1">
      <c r="B34" s="38"/>
      <c r="C34" s="35"/>
      <c r="D34" s="25" t="s">
        <v>47</v>
      </c>
      <c r="E34" s="26">
        <f>SUM(E30:E33)</f>
        <v>0</v>
      </c>
    </row>
    <row r="35" spans="2:7" ht="15.75" thickBot="1">
      <c r="B35" s="38"/>
      <c r="C35" s="35"/>
      <c r="D35" s="39"/>
      <c r="E35" s="40"/>
      <c r="F35" s="41"/>
    </row>
    <row r="36" spans="2:7" ht="15.75" thickBot="1">
      <c r="B36" s="42"/>
      <c r="C36" s="43"/>
      <c r="D36" s="44" t="s">
        <v>53</v>
      </c>
      <c r="E36" s="26">
        <f>E34+E24+E17+E13+E28</f>
        <v>47732.208300000006</v>
      </c>
      <c r="F36" s="23" t="s">
        <v>54</v>
      </c>
    </row>
    <row r="37" spans="2:7" ht="15.75" thickBot="1">
      <c r="B37" s="45"/>
      <c r="C37" s="45"/>
      <c r="D37" s="46" t="s">
        <v>55</v>
      </c>
      <c r="E37" s="47">
        <f>ROUNDDOWN(E36*0.2,2)</f>
        <v>9546.44</v>
      </c>
      <c r="F37" s="41"/>
    </row>
    <row r="38" spans="2:7" ht="15.75" thickBot="1">
      <c r="B38" s="45"/>
      <c r="C38" s="45"/>
      <c r="D38" s="46" t="s">
        <v>56</v>
      </c>
      <c r="E38" s="26">
        <f>E37+E36</f>
        <v>57278.648300000008</v>
      </c>
      <c r="F38" s="41"/>
    </row>
    <row r="39" spans="2:7">
      <c r="C39" s="45"/>
      <c r="D39" s="45"/>
      <c r="E39" s="45"/>
      <c r="F39" s="41"/>
    </row>
    <row r="40" spans="2:7">
      <c r="B40" s="2" t="s">
        <v>57</v>
      </c>
      <c r="F40" s="9" t="s">
        <v>58</v>
      </c>
    </row>
    <row r="41" spans="2:7">
      <c r="B41" s="2" t="s">
        <v>59</v>
      </c>
      <c r="D41" s="2"/>
      <c r="E41" s="2"/>
      <c r="F41" s="9" t="s">
        <v>60</v>
      </c>
    </row>
    <row r="42" spans="2:7" ht="15.75" thickBot="1"/>
    <row r="43" spans="2:7">
      <c r="B43" s="48" t="s">
        <v>61</v>
      </c>
      <c r="C43" s="49"/>
      <c r="D43" s="49"/>
    </row>
    <row r="45" spans="2:7" ht="15.75" thickBot="1">
      <c r="B45" s="4" t="s">
        <v>62</v>
      </c>
    </row>
    <row r="46" spans="2:7">
      <c r="B46" s="50" t="s">
        <v>63</v>
      </c>
      <c r="C46" s="50" t="s">
        <v>64</v>
      </c>
      <c r="D46" s="51" t="s">
        <v>65</v>
      </c>
      <c r="E46" s="52" t="s">
        <v>66</v>
      </c>
      <c r="F46" s="50" t="s">
        <v>67</v>
      </c>
      <c r="G46" s="50" t="s">
        <v>68</v>
      </c>
    </row>
    <row r="47" spans="2:7">
      <c r="B47" s="53" t="s">
        <v>69</v>
      </c>
      <c r="C47" s="54">
        <f>IF($E$8&lt;&gt;'Model Pricing'!$AM$8,IF($C$6='Model Pricing'!G$77,'Model Pricing'!G78,IF($C$6='Model Pricing'!H$77,'Model Pricing'!H78,IF($C$6='Model Pricing'!I$77,'Model Pricing'!I78,IF($C$6='Model Pricing'!J$77,'Model Pricing'!J78,IF($C$6='Model Pricing'!K$77,'Model Pricing'!K78,IF($C$6='Model Pricing'!L$77,'Model Pricing'!L78,"Error")))))),IF($C$6='Model Pricing'!G$77,'Model Pricing'!G78*(1+$C$13),IF($C$6='Model Pricing'!H$77,'Model Pricing'!H78*(1+$C$13),IF($C$6='Model Pricing'!I$77,'Model Pricing'!I78*(1+$C$13),IF($C$6='Model Pricing'!J$77,'Model Pricing'!J78*(1+$C$13),IF($C$6='Model Pricing'!K$77,'Model Pricing'!K78*(1+$C$13),IF($C$6='Model Pricing'!L$77,'Model Pricing'!L78*(1+$C$13),"Error")))))))</f>
        <v>28.113750000000003</v>
      </c>
      <c r="D47" s="55">
        <f>IF(C12&gt;10,$F47,C12)</f>
        <v>10</v>
      </c>
      <c r="E47" s="56">
        <f>C47*D47</f>
        <v>281.13750000000005</v>
      </c>
      <c r="F47" s="55">
        <f>'Model Pricing'!E78</f>
        <v>10</v>
      </c>
      <c r="G47" s="55">
        <f>'Model Pricing'!F78</f>
        <v>1</v>
      </c>
    </row>
    <row r="48" spans="2:7">
      <c r="B48" s="55" t="s">
        <v>70</v>
      </c>
      <c r="C48" s="54">
        <f>IF($E$8&lt;&gt;'Model Pricing'!$AM$8,IF($C$6='Model Pricing'!G$77,'Model Pricing'!G79,IF($C$6='Model Pricing'!H$77,'Model Pricing'!H79,IF($C$6='Model Pricing'!I$77,'Model Pricing'!I79,IF($C$6='Model Pricing'!J$77,'Model Pricing'!J79,IF($C$6='Model Pricing'!K$77,'Model Pricing'!K79,IF($C$6='Model Pricing'!L$77,'Model Pricing'!L79,"Error")))))),IF($C$6='Model Pricing'!G$77,'Model Pricing'!G79*(1+$C$13),IF($C$6='Model Pricing'!H$77,'Model Pricing'!H79*(1+$C$13),IF($C$6='Model Pricing'!I$77,'Model Pricing'!I79*(1+$C$13),IF($C$6='Model Pricing'!J$77,'Model Pricing'!J79*(1+$C$13),IF($C$6='Model Pricing'!K$77,'Model Pricing'!K79*(1+$C$13),IF($C$6='Model Pricing'!L$77,'Model Pricing'!L79*(1+$C$13),"Error")))))))</f>
        <v>25.864650000000005</v>
      </c>
      <c r="D48" s="55">
        <f>IF($C$12&lt;G48,0,(IF($C$12&gt;SUM($F$47:F48),F48,$C$12-SUM($F$47))))</f>
        <v>90</v>
      </c>
      <c r="E48" s="56">
        <f t="shared" ref="E48:E67" si="1">C48*D48</f>
        <v>2327.8185000000003</v>
      </c>
      <c r="F48" s="55">
        <f>'Model Pricing'!E79</f>
        <v>90</v>
      </c>
      <c r="G48" s="55">
        <f>'Model Pricing'!F79</f>
        <v>11</v>
      </c>
    </row>
    <row r="49" spans="2:7">
      <c r="B49" s="55" t="s">
        <v>71</v>
      </c>
      <c r="C49" s="54">
        <f>IF($E$8&lt;&gt;'Model Pricing'!$AM$8,IF($C$6='Model Pricing'!G$77,'Model Pricing'!G80,IF($C$6='Model Pricing'!H$77,'Model Pricing'!H80,IF($C$6='Model Pricing'!I$77,'Model Pricing'!I80,IF($C$6='Model Pricing'!J$77,'Model Pricing'!J80,IF($C$6='Model Pricing'!K$77,'Model Pricing'!K80,IF($C$6='Model Pricing'!L$77,'Model Pricing'!L80,"Error")))))),IF($C$6='Model Pricing'!G$77,'Model Pricing'!G80*(1+$C$13),IF($C$6='Model Pricing'!H$77,'Model Pricing'!H80*(1+$C$13),IF($C$6='Model Pricing'!I$77,'Model Pricing'!I80*(1+$C$13),IF($C$6='Model Pricing'!J$77,'Model Pricing'!J80*(1+$C$13),IF($C$6='Model Pricing'!K$77,'Model Pricing'!K80*(1+$C$13),IF($C$6='Model Pricing'!L$77,'Model Pricing'!L80*(1+$C$13),"Error")))))))</f>
        <v>20.241900000000001</v>
      </c>
      <c r="D49" s="55">
        <f>IF($C$12&lt;G49,0,(IF($C$12&gt;SUM($F$47:F49),F49,$C$12-SUM($F$47:F48))))</f>
        <v>900</v>
      </c>
      <c r="E49" s="56">
        <f t="shared" si="1"/>
        <v>18217.710000000003</v>
      </c>
      <c r="F49" s="55">
        <f>'Model Pricing'!E80</f>
        <v>900</v>
      </c>
      <c r="G49" s="55">
        <f>'Model Pricing'!F80</f>
        <v>101</v>
      </c>
    </row>
    <row r="50" spans="2:7">
      <c r="B50" s="55" t="s">
        <v>72</v>
      </c>
      <c r="C50" s="54">
        <f>IF($E$8&lt;&gt;'Model Pricing'!$AM$8,IF($C$6='Model Pricing'!G$77,'Model Pricing'!G81,IF($C$6='Model Pricing'!H$77,'Model Pricing'!H81,IF($C$6='Model Pricing'!I$77,'Model Pricing'!I81,IF($C$6='Model Pricing'!J$77,'Model Pricing'!J81,IF($C$6='Model Pricing'!K$77,'Model Pricing'!K81,IF($C$6='Model Pricing'!L$77,'Model Pricing'!L81,"Error")))))),IF($C$6='Model Pricing'!G$77,'Model Pricing'!G81*(1+$C$13),IF($C$6='Model Pricing'!H$77,'Model Pricing'!H81*(1+$C$13),IF($C$6='Model Pricing'!I$77,'Model Pricing'!I81*(1+$C$13),IF($C$6='Model Pricing'!J$77,'Model Pricing'!J81*(1+$C$13),IF($C$6='Model Pricing'!K$77,'Model Pricing'!K81*(1+$C$13),IF($C$6='Model Pricing'!L$77,'Model Pricing'!L81*(1+$C$13),"Error")))))))</f>
        <v>15.743700000000002</v>
      </c>
      <c r="D50" s="55">
        <f>IF($C$12&lt;G50,0,(IF($C$12&gt;SUM($F$47:F50),F50,$C$12-SUM($F$47:F49))))</f>
        <v>1000</v>
      </c>
      <c r="E50" s="56">
        <f t="shared" si="1"/>
        <v>15743.700000000003</v>
      </c>
      <c r="F50" s="55">
        <f>'Model Pricing'!E81</f>
        <v>1000</v>
      </c>
      <c r="G50" s="55">
        <f>'Model Pricing'!F81</f>
        <v>1001</v>
      </c>
    </row>
    <row r="51" spans="2:7">
      <c r="B51" s="55" t="s">
        <v>73</v>
      </c>
      <c r="C51" s="54">
        <f>IF($E$8&lt;&gt;'Model Pricing'!$AM$8,IF($C$6='Model Pricing'!G$77,'Model Pricing'!G82,IF($C$6='Model Pricing'!H$77,'Model Pricing'!H82,IF($C$6='Model Pricing'!I$77,'Model Pricing'!I82,IF($C$6='Model Pricing'!J$77,'Model Pricing'!J82,IF($C$6='Model Pricing'!K$77,'Model Pricing'!K82,IF($C$6='Model Pricing'!L$77,'Model Pricing'!L82,"Error")))))),IF($C$6='Model Pricing'!G$77,'Model Pricing'!G82*(1+$C$13),IF($C$6='Model Pricing'!H$77,'Model Pricing'!H82*(1+$C$13),IF($C$6='Model Pricing'!I$77,'Model Pricing'!I82*(1+$C$13),IF($C$6='Model Pricing'!J$77,'Model Pricing'!J82*(1+$C$13),IF($C$6='Model Pricing'!K$77,'Model Pricing'!K82*(1+$C$13),IF($C$6='Model Pricing'!L$77,'Model Pricing'!L82*(1+$C$13),"Error")))))))</f>
        <v>12.370050000000001</v>
      </c>
      <c r="D51" s="55">
        <f>IF($C$12&lt;G51,0,(IF($C$12&gt;SUM($F$47:F51),F51,$C$12-SUM($F$47:F50))))</f>
        <v>346</v>
      </c>
      <c r="E51" s="56">
        <f t="shared" si="1"/>
        <v>4280.0373</v>
      </c>
      <c r="F51" s="55">
        <f>'Model Pricing'!E82</f>
        <v>1000</v>
      </c>
      <c r="G51" s="55">
        <f>'Model Pricing'!F82</f>
        <v>2001</v>
      </c>
    </row>
    <row r="52" spans="2:7">
      <c r="B52" s="55" t="s">
        <v>74</v>
      </c>
      <c r="C52" s="54">
        <f>IF($E$8&lt;&gt;'Model Pricing'!$AM$8,IF($C$6='Model Pricing'!G$77,'Model Pricing'!G83,IF($C$6='Model Pricing'!H$77,'Model Pricing'!H83,IF($C$6='Model Pricing'!I$77,'Model Pricing'!I83,IF($C$6='Model Pricing'!J$77,'Model Pricing'!J83,IF($C$6='Model Pricing'!K$77,'Model Pricing'!K83,IF($C$6='Model Pricing'!L$77,'Model Pricing'!L83,"Error")))))),IF($C$6='Model Pricing'!G$77,'Model Pricing'!G83*(1+$C$13),IF($C$6='Model Pricing'!H$77,'Model Pricing'!H83*(1+$C$13),IF($C$6='Model Pricing'!I$77,'Model Pricing'!I83*(1+$C$13),IF($C$6='Model Pricing'!J$77,'Model Pricing'!J83*(1+$C$13),IF($C$6='Model Pricing'!K$77,'Model Pricing'!K83*(1+$C$13),IF($C$6='Model Pricing'!L$77,'Model Pricing'!L83*(1+$C$13),"Error")))))))</f>
        <v>11.2455</v>
      </c>
      <c r="D52" s="55">
        <f>IF($C$12&lt;G52,0,(IF($C$12&gt;SUM($F$47:F52),F52,$C$12-SUM($F$47:F51))))</f>
        <v>0</v>
      </c>
      <c r="E52" s="56">
        <f t="shared" si="1"/>
        <v>0</v>
      </c>
      <c r="F52" s="55">
        <f>'Model Pricing'!E83</f>
        <v>1000</v>
      </c>
      <c r="G52" s="55">
        <f>'Model Pricing'!F83</f>
        <v>3001</v>
      </c>
    </row>
    <row r="53" spans="2:7">
      <c r="B53" s="55" t="s">
        <v>75</v>
      </c>
      <c r="C53" s="54">
        <f>IF($E$8&lt;&gt;'Model Pricing'!$AM$8,IF($C$6='Model Pricing'!G$77,'Model Pricing'!G84,IF($C$6='Model Pricing'!H$77,'Model Pricing'!H84,IF($C$6='Model Pricing'!I$77,'Model Pricing'!I84,IF($C$6='Model Pricing'!J$77,'Model Pricing'!J84,IF($C$6='Model Pricing'!K$77,'Model Pricing'!K84,IF($C$6='Model Pricing'!L$77,'Model Pricing'!L84,"Error")))))),IF($C$6='Model Pricing'!G$77,'Model Pricing'!G84*(1+$C$13),IF($C$6='Model Pricing'!H$77,'Model Pricing'!H84*(1+$C$13),IF($C$6='Model Pricing'!I$77,'Model Pricing'!I84*(1+$C$13),IF($C$6='Model Pricing'!J$77,'Model Pricing'!J84*(1+$C$13),IF($C$6='Model Pricing'!K$77,'Model Pricing'!K84*(1+$C$13),IF($C$6='Model Pricing'!L$77,'Model Pricing'!L84*(1+$C$13),"Error")))))))</f>
        <v>10.120950000000001</v>
      </c>
      <c r="D53" s="55">
        <f>IF($C$12&lt;G53,0,(IF($C$12&gt;SUM($F$47:F53),F53,$C$12-SUM($F$47:F52))))</f>
        <v>0</v>
      </c>
      <c r="E53" s="56">
        <f t="shared" si="1"/>
        <v>0</v>
      </c>
      <c r="F53" s="55">
        <f>'Model Pricing'!E84</f>
        <v>1000</v>
      </c>
      <c r="G53" s="55">
        <f>'Model Pricing'!F84</f>
        <v>4001</v>
      </c>
    </row>
    <row r="54" spans="2:7">
      <c r="B54" s="55" t="s">
        <v>76</v>
      </c>
      <c r="C54" s="54">
        <f>IF($E$8&lt;&gt;'Model Pricing'!$AM$8,IF($C$6='Model Pricing'!G$77,'Model Pricing'!G85,IF($C$6='Model Pricing'!H$77,'Model Pricing'!H85,IF($C$6='Model Pricing'!I$77,'Model Pricing'!I85,IF($C$6='Model Pricing'!J$77,'Model Pricing'!J85,IF($C$6='Model Pricing'!K$77,'Model Pricing'!K85,IF($C$6='Model Pricing'!L$77,'Model Pricing'!L85,"Error")))))),IF($C$6='Model Pricing'!G$77,'Model Pricing'!G85*(1+$C$13),IF($C$6='Model Pricing'!H$77,'Model Pricing'!H85*(1+$C$13),IF($C$6='Model Pricing'!I$77,'Model Pricing'!I85*(1+$C$13),IF($C$6='Model Pricing'!J$77,'Model Pricing'!J85*(1+$C$13),IF($C$6='Model Pricing'!K$77,'Model Pricing'!K85*(1+$C$13),IF($C$6='Model Pricing'!L$77,'Model Pricing'!L85*(1+$C$13),"Error")))))))</f>
        <v>8.9964000000000013</v>
      </c>
      <c r="D54" s="55">
        <f>IF($C$12&lt;G54,0,(IF($C$12&gt;SUM($F$47:F54),F54,$C$12-SUM($F$47:F53))))</f>
        <v>0</v>
      </c>
      <c r="E54" s="56">
        <f t="shared" si="1"/>
        <v>0</v>
      </c>
      <c r="F54" s="55">
        <f>'Model Pricing'!E85</f>
        <v>1000</v>
      </c>
      <c r="G54" s="55">
        <f>'Model Pricing'!F85</f>
        <v>5001</v>
      </c>
    </row>
    <row r="55" spans="2:7">
      <c r="B55" s="55" t="s">
        <v>77</v>
      </c>
      <c r="C55" s="54">
        <f>IF($E$8&lt;&gt;'Model Pricing'!$AM$8,IF($C$6='Model Pricing'!G$77,'Model Pricing'!G86,IF($C$6='Model Pricing'!H$77,'Model Pricing'!H86,IF($C$6='Model Pricing'!I$77,'Model Pricing'!I86,IF($C$6='Model Pricing'!J$77,'Model Pricing'!J86,IF($C$6='Model Pricing'!K$77,'Model Pricing'!K86,IF($C$6='Model Pricing'!L$77,'Model Pricing'!L86,"Error")))))),IF($C$6='Model Pricing'!G$77,'Model Pricing'!G86*(1+$C$13),IF($C$6='Model Pricing'!H$77,'Model Pricing'!H86*(1+$C$13),IF($C$6='Model Pricing'!I$77,'Model Pricing'!I86*(1+$C$13),IF($C$6='Model Pricing'!J$77,'Model Pricing'!J86*(1+$C$13),IF($C$6='Model Pricing'!K$77,'Model Pricing'!K86*(1+$C$13),IF($C$6='Model Pricing'!L$77,'Model Pricing'!L86*(1+$C$13),"Error")))))))</f>
        <v>6.7473000000000001</v>
      </c>
      <c r="D55" s="55">
        <f>IF($C$12&lt;G55,0,(IF($C$12&gt;SUM($F$47:F55),F55,$C$12-SUM($F$47:F54))))</f>
        <v>0</v>
      </c>
      <c r="E55" s="56">
        <f t="shared" si="1"/>
        <v>0</v>
      </c>
      <c r="F55" s="55">
        <f>'Model Pricing'!E86</f>
        <v>1000</v>
      </c>
      <c r="G55" s="55">
        <f>'Model Pricing'!F86</f>
        <v>6001</v>
      </c>
    </row>
    <row r="56" spans="2:7">
      <c r="B56" s="55" t="s">
        <v>78</v>
      </c>
      <c r="C56" s="54">
        <f>IF($E$8&lt;&gt;'Model Pricing'!$AM$8,IF($C$6='Model Pricing'!G$77,'Model Pricing'!G87,IF($C$6='Model Pricing'!H$77,'Model Pricing'!H87,IF($C$6='Model Pricing'!I$77,'Model Pricing'!I87,IF($C$6='Model Pricing'!J$77,'Model Pricing'!J87,IF($C$6='Model Pricing'!K$77,'Model Pricing'!K87,IF($C$6='Model Pricing'!L$77,'Model Pricing'!L87,"Error")))))),IF($C$6='Model Pricing'!G$77,'Model Pricing'!G87*(1+$C$13),IF($C$6='Model Pricing'!H$77,'Model Pricing'!H87*(1+$C$13),IF($C$6='Model Pricing'!I$77,'Model Pricing'!I87*(1+$C$13),IF($C$6='Model Pricing'!J$77,'Model Pricing'!J87*(1+$C$13),IF($C$6='Model Pricing'!K$77,'Model Pricing'!K87*(1+$C$13),IF($C$6='Model Pricing'!L$77,'Model Pricing'!L87*(1+$C$13),"Error")))))))</f>
        <v>6.7473000000000001</v>
      </c>
      <c r="D56" s="55">
        <f>IF($C$12&lt;G56,0,(IF($C$12&gt;SUM($F$47:F56),F56,$C$12-SUM($F$47:F55))))</f>
        <v>0</v>
      </c>
      <c r="E56" s="56">
        <f t="shared" si="1"/>
        <v>0</v>
      </c>
      <c r="F56" s="55">
        <f>'Model Pricing'!E87</f>
        <v>1000</v>
      </c>
      <c r="G56" s="55">
        <f>'Model Pricing'!F87</f>
        <v>7001</v>
      </c>
    </row>
    <row r="57" spans="2:7">
      <c r="B57" s="55" t="s">
        <v>79</v>
      </c>
      <c r="C57" s="54">
        <f>IF($E$8&lt;&gt;'Model Pricing'!$AM$8,IF($C$6='Model Pricing'!G$77,'Model Pricing'!G88,IF($C$6='Model Pricing'!H$77,'Model Pricing'!H88,IF($C$6='Model Pricing'!I$77,'Model Pricing'!I88,IF($C$6='Model Pricing'!J$77,'Model Pricing'!J88,IF($C$6='Model Pricing'!K$77,'Model Pricing'!K88,IF($C$6='Model Pricing'!L$77,'Model Pricing'!L88,"Error")))))),IF($C$6='Model Pricing'!G$77,'Model Pricing'!G88*(1+$C$13),IF($C$6='Model Pricing'!H$77,'Model Pricing'!H88*(1+$C$13),IF($C$6='Model Pricing'!I$77,'Model Pricing'!I88*(1+$C$13),IF($C$6='Model Pricing'!J$77,'Model Pricing'!J88*(1+$C$13),IF($C$6='Model Pricing'!K$77,'Model Pricing'!K88*(1+$C$13),IF($C$6='Model Pricing'!L$77,'Model Pricing'!L88*(1+$C$13),"Error")))))))</f>
        <v>6.7473000000000001</v>
      </c>
      <c r="D57" s="55">
        <f>IF($C$12&lt;G57,0,(IF($C$12&gt;SUM($F$47:F57),F57,$C$12-SUM($F$47:F56))))</f>
        <v>0</v>
      </c>
      <c r="E57" s="56">
        <f t="shared" si="1"/>
        <v>0</v>
      </c>
      <c r="F57" s="55">
        <f>'Model Pricing'!E88</f>
        <v>1000</v>
      </c>
      <c r="G57" s="55">
        <f>'Model Pricing'!F88</f>
        <v>8001</v>
      </c>
    </row>
    <row r="58" spans="2:7">
      <c r="B58" s="55" t="s">
        <v>80</v>
      </c>
      <c r="C58" s="54">
        <f>IF($E$8&lt;&gt;'Model Pricing'!$AM$8,IF($C$6='Model Pricing'!G$77,'Model Pricing'!G89,IF($C$6='Model Pricing'!H$77,'Model Pricing'!H89,IF($C$6='Model Pricing'!I$77,'Model Pricing'!I89,IF($C$6='Model Pricing'!J$77,'Model Pricing'!J89,IF($C$6='Model Pricing'!K$77,'Model Pricing'!K89,IF($C$6='Model Pricing'!L$77,'Model Pricing'!L89,"Error")))))),IF($C$6='Model Pricing'!G$77,'Model Pricing'!G89*(1+$C$13),IF($C$6='Model Pricing'!H$77,'Model Pricing'!H89*(1+$C$13),IF($C$6='Model Pricing'!I$77,'Model Pricing'!I89*(1+$C$13),IF($C$6='Model Pricing'!J$77,'Model Pricing'!J89*(1+$C$13),IF($C$6='Model Pricing'!K$77,'Model Pricing'!K89*(1+$C$13),IF($C$6='Model Pricing'!L$77,'Model Pricing'!L89*(1+$C$13),"Error")))))))</f>
        <v>4.4982000000000006</v>
      </c>
      <c r="D58" s="55">
        <f>IF($C$12&lt;G58,0,(IF($C$12&gt;SUM($F$47:F58),F58,$C$12-SUM($F$47:F57))))</f>
        <v>0</v>
      </c>
      <c r="E58" s="56">
        <f t="shared" si="1"/>
        <v>0</v>
      </c>
      <c r="F58" s="55">
        <f>'Model Pricing'!E89</f>
        <v>1000</v>
      </c>
      <c r="G58" s="55">
        <f>'Model Pricing'!F89</f>
        <v>9001</v>
      </c>
    </row>
    <row r="59" spans="2:7">
      <c r="B59" s="55" t="s">
        <v>81</v>
      </c>
      <c r="C59" s="54">
        <f>IF($E$8&lt;&gt;'Model Pricing'!$AM$8,IF($C$6='Model Pricing'!G$77,'Model Pricing'!G90,IF($C$6='Model Pricing'!H$77,'Model Pricing'!H90,IF($C$6='Model Pricing'!I$77,'Model Pricing'!I90,IF($C$6='Model Pricing'!J$77,'Model Pricing'!J90,IF($C$6='Model Pricing'!K$77,'Model Pricing'!K90,IF($C$6='Model Pricing'!L$77,'Model Pricing'!L90,"Error")))))),IF($C$6='Model Pricing'!G$77,'Model Pricing'!G90*(1+$C$13),IF($C$6='Model Pricing'!H$77,'Model Pricing'!H90*(1+$C$13),IF($C$6='Model Pricing'!I$77,'Model Pricing'!I90*(1+$C$13),IF($C$6='Model Pricing'!J$77,'Model Pricing'!J90*(1+$C$13),IF($C$6='Model Pricing'!K$77,'Model Pricing'!K90*(1+$C$13),IF($C$6='Model Pricing'!L$77,'Model Pricing'!L90*(1+$C$13),"Error")))))))</f>
        <v>4.4982000000000006</v>
      </c>
      <c r="D59" s="55">
        <f>IF($C$12&lt;G59,0,(IF($C$12&gt;SUM($F$47:F59),F59,$C$12-SUM($F$47:F58))))</f>
        <v>0</v>
      </c>
      <c r="E59" s="56">
        <f t="shared" si="1"/>
        <v>0</v>
      </c>
      <c r="F59" s="55">
        <f>'Model Pricing'!E90</f>
        <v>1000</v>
      </c>
      <c r="G59" s="55">
        <f>'Model Pricing'!F90</f>
        <v>10001</v>
      </c>
    </row>
    <row r="60" spans="2:7">
      <c r="B60" s="55" t="s">
        <v>82</v>
      </c>
      <c r="C60" s="54">
        <f>IF($E$8&lt;&gt;'Model Pricing'!$AM$8,IF($C$6='Model Pricing'!G$77,'Model Pricing'!G91,IF($C$6='Model Pricing'!H$77,'Model Pricing'!H91,IF($C$6='Model Pricing'!I$77,'Model Pricing'!I91,IF($C$6='Model Pricing'!J$77,'Model Pricing'!J91,IF($C$6='Model Pricing'!K$77,'Model Pricing'!K91,IF($C$6='Model Pricing'!L$77,'Model Pricing'!L91,"Error")))))),IF($C$6='Model Pricing'!G$77,'Model Pricing'!G91*(1+$C$13),IF($C$6='Model Pricing'!H$77,'Model Pricing'!H91*(1+$C$13),IF($C$6='Model Pricing'!I$77,'Model Pricing'!I91*(1+$C$13),IF($C$6='Model Pricing'!J$77,'Model Pricing'!J91*(1+$C$13),IF($C$6='Model Pricing'!K$77,'Model Pricing'!K91*(1+$C$13),IF($C$6='Model Pricing'!L$77,'Model Pricing'!L91*(1+$C$13),"Error")))))))</f>
        <v>4.4982000000000006</v>
      </c>
      <c r="D60" s="55">
        <f>IF($C$12&lt;G60,0,(IF($C$12&gt;SUM($F$47:F60),F60,$C$12-SUM($F$47:F59))))</f>
        <v>0</v>
      </c>
      <c r="E60" s="56">
        <f t="shared" si="1"/>
        <v>0</v>
      </c>
      <c r="F60" s="55">
        <f>'Model Pricing'!E91</f>
        <v>1000</v>
      </c>
      <c r="G60" s="55">
        <f>'Model Pricing'!F91</f>
        <v>11001</v>
      </c>
    </row>
    <row r="61" spans="2:7">
      <c r="B61" s="55" t="s">
        <v>83</v>
      </c>
      <c r="C61" s="54">
        <f>IF($E$8&lt;&gt;'Model Pricing'!$AM$8,IF($C$6='Model Pricing'!G$77,'Model Pricing'!G92,IF($C$6='Model Pricing'!H$77,'Model Pricing'!H92,IF($C$6='Model Pricing'!I$77,'Model Pricing'!I92,IF($C$6='Model Pricing'!J$77,'Model Pricing'!J92,IF($C$6='Model Pricing'!K$77,'Model Pricing'!K92,IF($C$6='Model Pricing'!L$77,'Model Pricing'!L92,"Error")))))),IF($C$6='Model Pricing'!G$77,'Model Pricing'!G92*(1+$C$13),IF($C$6='Model Pricing'!H$77,'Model Pricing'!H92*(1+$C$13),IF($C$6='Model Pricing'!I$77,'Model Pricing'!I92*(1+$C$13),IF($C$6='Model Pricing'!J$77,'Model Pricing'!J92*(1+$C$13),IF($C$6='Model Pricing'!K$77,'Model Pricing'!K92*(1+$C$13),IF($C$6='Model Pricing'!L$77,'Model Pricing'!L92*(1+$C$13),"Error")))))))</f>
        <v>4.4982000000000006</v>
      </c>
      <c r="D61" s="55">
        <f>IF($C$12&lt;G61,0,(IF($C$12&gt;SUM($F$47:F61),F61,$C$12-SUM($F$47:F60))))</f>
        <v>0</v>
      </c>
      <c r="E61" s="56">
        <f t="shared" si="1"/>
        <v>0</v>
      </c>
      <c r="F61" s="55">
        <f>'Model Pricing'!E92</f>
        <v>1000</v>
      </c>
      <c r="G61" s="55">
        <f>'Model Pricing'!F92</f>
        <v>12001</v>
      </c>
    </row>
    <row r="62" spans="2:7">
      <c r="B62" s="55" t="s">
        <v>84</v>
      </c>
      <c r="C62" s="54">
        <f>IF($E$8&lt;&gt;'Model Pricing'!$AM$8,IF($C$6='Model Pricing'!G$77,'Model Pricing'!G93,IF($C$6='Model Pricing'!H$77,'Model Pricing'!H93,IF($C$6='Model Pricing'!I$77,'Model Pricing'!I93,IF($C$6='Model Pricing'!J$77,'Model Pricing'!J93,IF($C$6='Model Pricing'!K$77,'Model Pricing'!K93,IF($C$6='Model Pricing'!L$77,'Model Pricing'!L93,"Error")))))),IF($C$6='Model Pricing'!G$77,'Model Pricing'!G93*(1+$C$13),IF($C$6='Model Pricing'!H$77,'Model Pricing'!H93*(1+$C$13),IF($C$6='Model Pricing'!I$77,'Model Pricing'!I93*(1+$C$13),IF($C$6='Model Pricing'!J$77,'Model Pricing'!J93*(1+$C$13),IF($C$6='Model Pricing'!K$77,'Model Pricing'!K93*(1+$C$13),IF($C$6='Model Pricing'!L$77,'Model Pricing'!L93*(1+$C$13),"Error")))))))</f>
        <v>4.4982000000000006</v>
      </c>
      <c r="D62" s="55">
        <f>IF($C$12&lt;G62,0,(IF($C$12&gt;SUM($F$47:F62),F62,$C$12-SUM($F$47:F61))))</f>
        <v>0</v>
      </c>
      <c r="E62" s="56">
        <f t="shared" si="1"/>
        <v>0</v>
      </c>
      <c r="F62" s="55">
        <f>'Model Pricing'!E93</f>
        <v>1000</v>
      </c>
      <c r="G62" s="55">
        <f>'Model Pricing'!F93</f>
        <v>13001</v>
      </c>
    </row>
    <row r="63" spans="2:7">
      <c r="B63" s="55" t="s">
        <v>85</v>
      </c>
      <c r="C63" s="54">
        <f>IF($E$8&lt;&gt;'Model Pricing'!$AM$8,IF($C$6='Model Pricing'!G$77,'Model Pricing'!G94,IF($C$6='Model Pricing'!H$77,'Model Pricing'!H94,IF($C$6='Model Pricing'!I$77,'Model Pricing'!I94,IF($C$6='Model Pricing'!J$77,'Model Pricing'!J94,IF($C$6='Model Pricing'!K$77,'Model Pricing'!K94,IF($C$6='Model Pricing'!L$77,'Model Pricing'!L94,"Error")))))),IF($C$6='Model Pricing'!G$77,'Model Pricing'!G94*(1+$C$13),IF($C$6='Model Pricing'!H$77,'Model Pricing'!H94*(1+$C$13),IF($C$6='Model Pricing'!I$77,'Model Pricing'!I94*(1+$C$13),IF($C$6='Model Pricing'!J$77,'Model Pricing'!J94*(1+$C$13),IF($C$6='Model Pricing'!K$77,'Model Pricing'!K94*(1+$C$13),IF($C$6='Model Pricing'!L$77,'Model Pricing'!L94*(1+$C$13),"Error")))))))</f>
        <v>4.4982000000000006</v>
      </c>
      <c r="D63" s="55">
        <f>IF($C$12&lt;G63,0,(IF($C$12&gt;SUM($F$47:F63),F63,$C$12-SUM($F$47:F62))))</f>
        <v>0</v>
      </c>
      <c r="E63" s="56">
        <f t="shared" si="1"/>
        <v>0</v>
      </c>
      <c r="F63" s="55">
        <f>'Model Pricing'!E94</f>
        <v>1000</v>
      </c>
      <c r="G63" s="55">
        <f>'Model Pricing'!F94</f>
        <v>14001</v>
      </c>
    </row>
    <row r="64" spans="2:7">
      <c r="B64" s="55" t="s">
        <v>86</v>
      </c>
      <c r="C64" s="54">
        <f>IF($E$8&lt;&gt;'Model Pricing'!$AM$8,IF($C$6='Model Pricing'!G$77,'Model Pricing'!G95,IF($C$6='Model Pricing'!H$77,'Model Pricing'!H95,IF($C$6='Model Pricing'!I$77,'Model Pricing'!I95,IF($C$6='Model Pricing'!J$77,'Model Pricing'!J95,IF($C$6='Model Pricing'!K$77,'Model Pricing'!K95,IF($C$6='Model Pricing'!L$77,'Model Pricing'!L95,"Error")))))),IF($C$6='Model Pricing'!G$77,'Model Pricing'!G95*(1+$C$13),IF($C$6='Model Pricing'!H$77,'Model Pricing'!H95*(1+$C$13),IF($C$6='Model Pricing'!I$77,'Model Pricing'!I95*(1+$C$13),IF($C$6='Model Pricing'!J$77,'Model Pricing'!J95*(1+$C$13),IF($C$6='Model Pricing'!K$77,'Model Pricing'!K95*(1+$C$13),IF($C$6='Model Pricing'!L$77,'Model Pricing'!L95*(1+$C$13),"Error")))))))</f>
        <v>4.4982000000000006</v>
      </c>
      <c r="D64" s="55">
        <f>IF($C$12&lt;G64,0,(IF($C$12&gt;SUM($F$47:F64),F64,$C$12-SUM($F$47:F63))))</f>
        <v>0</v>
      </c>
      <c r="E64" s="56">
        <f t="shared" si="1"/>
        <v>0</v>
      </c>
      <c r="F64" s="55">
        <f>'Model Pricing'!E95</f>
        <v>1000</v>
      </c>
      <c r="G64" s="55">
        <f>'Model Pricing'!F95</f>
        <v>15001</v>
      </c>
    </row>
    <row r="65" spans="2:7">
      <c r="B65" s="55" t="s">
        <v>87</v>
      </c>
      <c r="C65" s="54">
        <f>IF($E$8&lt;&gt;'Model Pricing'!$AM$8,IF($C$6='Model Pricing'!G$77,'Model Pricing'!G96,IF($C$6='Model Pricing'!H$77,'Model Pricing'!H96,IF($C$6='Model Pricing'!I$77,'Model Pricing'!I96,IF($C$6='Model Pricing'!J$77,'Model Pricing'!J96,IF($C$6='Model Pricing'!K$77,'Model Pricing'!K96,IF($C$6='Model Pricing'!L$77,'Model Pricing'!L96,"Error")))))),IF($C$6='Model Pricing'!G$77,'Model Pricing'!G96*(1+$C$13),IF($C$6='Model Pricing'!H$77,'Model Pricing'!H96*(1+$C$13),IF($C$6='Model Pricing'!I$77,'Model Pricing'!I96*(1+$C$13),IF($C$6='Model Pricing'!J$77,'Model Pricing'!J96*(1+$C$13),IF($C$6='Model Pricing'!K$77,'Model Pricing'!K96*(1+$C$13),IF($C$6='Model Pricing'!L$77,'Model Pricing'!L96*(1+$C$13),"Error")))))))</f>
        <v>4.4982000000000006</v>
      </c>
      <c r="D65" s="55">
        <f>IF($C$12&lt;G65,0,(IF($C$12&gt;SUM($F$47:F65),F65,$C$12-SUM($F$47:F64))))</f>
        <v>0</v>
      </c>
      <c r="E65" s="56">
        <f t="shared" si="1"/>
        <v>0</v>
      </c>
      <c r="F65" s="55">
        <f>'Model Pricing'!E96</f>
        <v>1000</v>
      </c>
      <c r="G65" s="55">
        <f>'Model Pricing'!F96</f>
        <v>16001</v>
      </c>
    </row>
    <row r="66" spans="2:7">
      <c r="B66" s="55" t="s">
        <v>88</v>
      </c>
      <c r="C66" s="54">
        <f>IF($E$8&lt;&gt;'Model Pricing'!$AM$8,IF($C$6='Model Pricing'!G$77,'Model Pricing'!G97,IF($C$6='Model Pricing'!H$77,'Model Pricing'!H97,IF($C$6='Model Pricing'!I$77,'Model Pricing'!I97,IF($C$6='Model Pricing'!J$77,'Model Pricing'!J97,IF($C$6='Model Pricing'!K$77,'Model Pricing'!K97,IF($C$6='Model Pricing'!L$77,'Model Pricing'!L97,"Error")))))),IF($C$6='Model Pricing'!G$77,'Model Pricing'!G97*(1+$C$13),IF($C$6='Model Pricing'!H$77,'Model Pricing'!H97*(1+$C$13),IF($C$6='Model Pricing'!I$77,'Model Pricing'!I97*(1+$C$13),IF($C$6='Model Pricing'!J$77,'Model Pricing'!J97*(1+$C$13),IF($C$6='Model Pricing'!K$77,'Model Pricing'!K97*(1+$C$13),IF($C$6='Model Pricing'!L$77,'Model Pricing'!L97*(1+$C$13),"Error")))))))</f>
        <v>4.4982000000000006</v>
      </c>
      <c r="D66" s="55">
        <f>IF($C$12&lt;G66,0,(IF($C$12&gt;SUM($F$47:F66),F66,$C$12-SUM($F$47:F65))))</f>
        <v>0</v>
      </c>
      <c r="E66" s="56">
        <f t="shared" si="1"/>
        <v>0</v>
      </c>
      <c r="F66" s="55">
        <f>'Model Pricing'!E97</f>
        <v>1000</v>
      </c>
      <c r="G66" s="55">
        <f>'Model Pricing'!F97</f>
        <v>17001</v>
      </c>
    </row>
    <row r="67" spans="2:7">
      <c r="B67" s="55" t="s">
        <v>89</v>
      </c>
      <c r="C67" s="54">
        <f>IF($E$8&lt;&gt;'Model Pricing'!$AM$8,IF($C$6='Model Pricing'!G$77,'Model Pricing'!G98,IF($C$6='Model Pricing'!H$77,'Model Pricing'!H98,IF($C$6='Model Pricing'!I$77,'Model Pricing'!I98,IF($C$6='Model Pricing'!J$77,'Model Pricing'!J98,IF($C$6='Model Pricing'!K$77,'Model Pricing'!K98,IF($C$6='Model Pricing'!L$77,'Model Pricing'!L98,"Error")))))),IF($C$6='Model Pricing'!G$77,'Model Pricing'!G98*(1+$C$13),IF($C$6='Model Pricing'!H$77,'Model Pricing'!H98*(1+$C$13),IF($C$6='Model Pricing'!I$77,'Model Pricing'!I98*(1+$C$13),IF($C$6='Model Pricing'!J$77,'Model Pricing'!J98*(1+$C$13),IF($C$6='Model Pricing'!K$77,'Model Pricing'!K98*(1+$C$13),IF($C$6='Model Pricing'!L$77,'Model Pricing'!L98*(1+$C$13),"Error")))))))</f>
        <v>4.4982000000000006</v>
      </c>
      <c r="D67" s="55">
        <f>IF($C$12&lt;G67,0,(IF($C$12&gt;SUM($F$47:F67),F67,$C$12-SUM($F$47:F66))))</f>
        <v>0</v>
      </c>
      <c r="E67" s="56">
        <f t="shared" si="1"/>
        <v>0</v>
      </c>
      <c r="F67" s="55">
        <f>'Model Pricing'!E98</f>
        <v>4000</v>
      </c>
      <c r="G67" s="55">
        <f>'Model Pricing'!F98</f>
        <v>18001</v>
      </c>
    </row>
    <row r="68" spans="2:7">
      <c r="D68" s="57" t="s">
        <v>66</v>
      </c>
      <c r="E68" s="58">
        <f>SUM(E47:E67)</f>
        <v>40850.403300000005</v>
      </c>
    </row>
    <row r="69" spans="2:7">
      <c r="E69" s="59"/>
    </row>
    <row r="70" spans="2:7">
      <c r="B70" s="2" t="s">
        <v>57</v>
      </c>
    </row>
    <row r="71" spans="2:7">
      <c r="B71" s="2" t="s">
        <v>59</v>
      </c>
    </row>
  </sheetData>
  <mergeCells count="1">
    <mergeCell ref="C7:E7"/>
  </mergeCells>
  <pageMargins left="0.7" right="0.7" top="0.75" bottom="0.75" header="0.3" footer="0.3"/>
  <pageSetup paperSize="9" scale="63" fitToHeight="0" orientation="portrait" verticalDpi="360" r:id="rId1"/>
  <rowBreaks count="1" manualBreakCount="1">
    <brk id="3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D902A59-A731-4CF4-A743-41C577E71E85}">
          <x14:formula1>
            <xm:f>'Model Pricing'!$B$4:$B$9</xm:f>
          </x14:formula1>
          <xm:sqref>C6</xm:sqref>
        </x14:dataValidation>
        <x14:dataValidation type="list" allowBlank="1" showInputMessage="1" showErrorMessage="1" xr:uid="{364675B3-ECC5-40DE-B7EF-38A7AE14A8EC}">
          <x14:formula1>
            <xm:f>'Model Pricing'!$AM$5:$AM$8</xm:f>
          </x14:formula1>
          <xm:sqref>E8</xm:sqref>
        </x14:dataValidation>
        <x14:dataValidation type="list" allowBlank="1" showInputMessage="1" showErrorMessage="1" xr:uid="{9AFC1A5B-78B6-4800-8C74-F60716B3FF92}">
          <x14:formula1>
            <xm:f>'Model Pricing'!$AN$5:$AN$6</xm:f>
          </x14:formula1>
          <xm:sqref>C23 C15 C21 C19</xm:sqref>
        </x14:dataValidation>
        <x14:dataValidation type="list" allowBlank="1" showInputMessage="1" showErrorMessage="1" xr:uid="{F468ECE6-44FF-40F1-AAD9-32FD74EFAA2C}">
          <x14:formula1>
            <xm:f>'Model Pricing'!$AO$5:$AO$15</xm:f>
          </x14:formula1>
          <xm:sqref>C20 C22 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0357-B1CD-4955-A496-4D53C2F94737}">
  <dimension ref="A1:AO138"/>
  <sheetViews>
    <sheetView topLeftCell="A13" workbookViewId="0">
      <selection activeCell="E24" sqref="E24"/>
    </sheetView>
  </sheetViews>
  <sheetFormatPr defaultRowHeight="15" outlineLevelRow="1"/>
  <cols>
    <col min="1" max="1" width="17.85546875" bestFit="1" customWidth="1"/>
    <col min="2" max="2" width="25" customWidth="1"/>
    <col min="3" max="3" width="17.85546875" bestFit="1" customWidth="1"/>
    <col min="4" max="4" width="18.42578125" bestFit="1" customWidth="1"/>
    <col min="5" max="5" width="20" bestFit="1" customWidth="1"/>
    <col min="6" max="6" width="15.28515625" bestFit="1" customWidth="1"/>
    <col min="7" max="7" width="16.7109375" bestFit="1" customWidth="1"/>
    <col min="8" max="9" width="15.28515625" bestFit="1" customWidth="1"/>
    <col min="10" max="11" width="13.7109375" bestFit="1" customWidth="1"/>
    <col min="12" max="12" width="13.42578125" bestFit="1" customWidth="1"/>
    <col min="13" max="22" width="13.7109375" bestFit="1" customWidth="1"/>
    <col min="23" max="23" width="14.7109375" bestFit="1" customWidth="1"/>
    <col min="24" max="24" width="15.28515625" bestFit="1" customWidth="1"/>
    <col min="25" max="25" width="16.140625" bestFit="1" customWidth="1"/>
    <col min="26" max="26" width="14.85546875" bestFit="1" customWidth="1"/>
    <col min="27" max="29" width="12.5703125" bestFit="1" customWidth="1"/>
    <col min="30" max="30" width="11.5703125" bestFit="1" customWidth="1"/>
    <col min="31" max="31" width="12.5703125" bestFit="1" customWidth="1"/>
    <col min="32" max="32" width="22.140625" bestFit="1" customWidth="1"/>
    <col min="33" max="36" width="12.5703125" bestFit="1" customWidth="1"/>
    <col min="37" max="37" width="13.140625" customWidth="1"/>
    <col min="38" max="38" width="34.85546875" bestFit="1" customWidth="1"/>
    <col min="39" max="39" width="16.85546875" bestFit="1" customWidth="1"/>
    <col min="40" max="40" width="12.5703125" bestFit="1" customWidth="1"/>
    <col min="41" max="43" width="14.28515625" bestFit="1" customWidth="1"/>
    <col min="49" max="49" width="11.28515625" customWidth="1"/>
    <col min="50" max="50" width="19.28515625" bestFit="1" customWidth="1"/>
    <col min="51" max="51" width="12.5703125" bestFit="1" customWidth="1"/>
  </cols>
  <sheetData>
    <row r="1" spans="1:41">
      <c r="C1" s="60" t="s">
        <v>90</v>
      </c>
      <c r="D1" s="60"/>
      <c r="X1" s="117" t="s">
        <v>91</v>
      </c>
      <c r="Y1" s="117"/>
      <c r="Z1" s="117"/>
    </row>
    <row r="2" spans="1:41">
      <c r="B2" s="60" t="s">
        <v>63</v>
      </c>
      <c r="C2" s="60" t="s">
        <v>92</v>
      </c>
      <c r="D2" s="60" t="s">
        <v>93</v>
      </c>
      <c r="E2" s="60" t="s">
        <v>94</v>
      </c>
      <c r="F2" s="60" t="s">
        <v>95</v>
      </c>
      <c r="G2" s="60" t="s">
        <v>96</v>
      </c>
      <c r="H2" s="60" t="s">
        <v>97</v>
      </c>
      <c r="I2" s="60" t="s">
        <v>98</v>
      </c>
      <c r="J2" s="60" t="s">
        <v>99</v>
      </c>
      <c r="K2" s="60" t="s">
        <v>100</v>
      </c>
      <c r="L2" s="60" t="s">
        <v>101</v>
      </c>
      <c r="M2" s="60" t="s">
        <v>102</v>
      </c>
      <c r="N2" s="60" t="s">
        <v>103</v>
      </c>
      <c r="O2" s="60" t="s">
        <v>104</v>
      </c>
      <c r="P2" s="60" t="s">
        <v>105</v>
      </c>
      <c r="Q2" s="60" t="s">
        <v>106</v>
      </c>
      <c r="R2" s="60" t="s">
        <v>107</v>
      </c>
      <c r="S2" s="60" t="s">
        <v>108</v>
      </c>
      <c r="T2" s="60" t="s">
        <v>109</v>
      </c>
      <c r="U2" s="60" t="s">
        <v>110</v>
      </c>
      <c r="V2" s="60" t="s">
        <v>111</v>
      </c>
      <c r="W2" s="60" t="s">
        <v>112</v>
      </c>
      <c r="X2" s="61" t="s">
        <v>113</v>
      </c>
      <c r="Y2" s="61" t="s">
        <v>114</v>
      </c>
      <c r="Z2" s="51" t="s">
        <v>115</v>
      </c>
      <c r="AL2" t="s">
        <v>116</v>
      </c>
    </row>
    <row r="3" spans="1:41">
      <c r="B3" s="51" t="s">
        <v>117</v>
      </c>
      <c r="C3" s="51">
        <v>1</v>
      </c>
      <c r="D3" s="51">
        <v>11</v>
      </c>
      <c r="E3" s="51">
        <v>100</v>
      </c>
      <c r="F3" s="51">
        <v>1001</v>
      </c>
      <c r="G3" s="51">
        <v>2001</v>
      </c>
      <c r="H3" s="51">
        <v>3001</v>
      </c>
      <c r="I3" s="51">
        <v>4001</v>
      </c>
      <c r="J3" s="51">
        <v>5001</v>
      </c>
      <c r="K3" s="51">
        <v>6001</v>
      </c>
      <c r="L3" s="51">
        <v>7001</v>
      </c>
      <c r="M3" s="51">
        <v>8001</v>
      </c>
      <c r="N3" s="51">
        <v>9001</v>
      </c>
      <c r="O3" s="51">
        <v>10001</v>
      </c>
      <c r="P3" s="51">
        <v>11001</v>
      </c>
      <c r="Q3" s="51">
        <v>12001</v>
      </c>
      <c r="R3" s="51">
        <v>13001</v>
      </c>
      <c r="S3" s="51">
        <v>14001</v>
      </c>
      <c r="T3" s="51">
        <v>15001</v>
      </c>
      <c r="U3" s="51">
        <v>16001</v>
      </c>
      <c r="V3" s="51">
        <v>17001</v>
      </c>
      <c r="W3" s="51">
        <v>18001</v>
      </c>
      <c r="X3" s="118" t="s">
        <v>118</v>
      </c>
      <c r="Y3" s="119"/>
      <c r="Z3" s="119"/>
    </row>
    <row r="4" spans="1:41">
      <c r="A4">
        <v>0.05</v>
      </c>
      <c r="B4" s="55" t="s">
        <v>6</v>
      </c>
      <c r="C4" s="114">
        <v>28.113750000000003</v>
      </c>
      <c r="D4" s="114">
        <v>25.864650000000005</v>
      </c>
      <c r="E4" s="114">
        <v>20.241900000000001</v>
      </c>
      <c r="F4" s="114">
        <v>15.743700000000002</v>
      </c>
      <c r="G4" s="114">
        <v>12.370050000000001</v>
      </c>
      <c r="H4" s="114">
        <v>11.2455</v>
      </c>
      <c r="I4" s="114">
        <v>10.120950000000001</v>
      </c>
      <c r="J4" s="114">
        <v>8.9964000000000013</v>
      </c>
      <c r="K4" s="114">
        <v>6.7473000000000001</v>
      </c>
      <c r="L4" s="114">
        <v>6.7473000000000001</v>
      </c>
      <c r="M4" s="114">
        <v>6.7473000000000001</v>
      </c>
      <c r="N4" s="114">
        <v>4.4982000000000006</v>
      </c>
      <c r="O4" s="114">
        <v>4.4982000000000006</v>
      </c>
      <c r="P4" s="114">
        <v>4.4982000000000006</v>
      </c>
      <c r="Q4" s="114">
        <v>4.4982000000000006</v>
      </c>
      <c r="R4" s="114">
        <v>4.4982000000000006</v>
      </c>
      <c r="S4" s="114">
        <v>4.4982000000000006</v>
      </c>
      <c r="T4" s="114">
        <v>4.4982000000000006</v>
      </c>
      <c r="U4" s="114">
        <v>4.4982000000000006</v>
      </c>
      <c r="V4" s="114">
        <v>4.4982000000000006</v>
      </c>
      <c r="W4" s="114">
        <v>4.4982000000000006</v>
      </c>
      <c r="X4" s="62">
        <v>111000</v>
      </c>
      <c r="Y4" s="63">
        <v>0.06</v>
      </c>
      <c r="Z4" s="64">
        <f t="shared" ref="Z4:Z5" si="0">X4*(1+Y4)</f>
        <v>117660</v>
      </c>
      <c r="AM4" s="60" t="s">
        <v>119</v>
      </c>
      <c r="AN4" s="60" t="s">
        <v>120</v>
      </c>
      <c r="AO4" s="60" t="s">
        <v>121</v>
      </c>
    </row>
    <row r="5" spans="1:41">
      <c r="A5">
        <v>0.05</v>
      </c>
      <c r="B5" s="55" t="s">
        <v>122</v>
      </c>
      <c r="C5" s="56">
        <f>C4*(1+$A5)</f>
        <v>29.519437500000006</v>
      </c>
      <c r="D5" s="56">
        <f>D4*(1+$A5)</f>
        <v>27.157882500000007</v>
      </c>
      <c r="E5" s="56">
        <f>E4*(1+$A5)</f>
        <v>21.253995000000003</v>
      </c>
      <c r="F5" s="56">
        <f>F4*(1+$A5)</f>
        <v>16.530885000000001</v>
      </c>
      <c r="G5" s="56">
        <f>G4*(1+$A5)</f>
        <v>12.988552500000001</v>
      </c>
      <c r="H5" s="56">
        <f>H4*(1+$A5)</f>
        <v>11.807774999999999</v>
      </c>
      <c r="I5" s="56">
        <f>I4*(1+$A5)</f>
        <v>10.626997500000002</v>
      </c>
      <c r="J5" s="56">
        <f>J4*(1+$A5)</f>
        <v>9.4462200000000021</v>
      </c>
      <c r="K5" s="56">
        <f>K4*(1+$A5)</f>
        <v>7.0846650000000002</v>
      </c>
      <c r="L5" s="56">
        <f>L4*(1+$A5)</f>
        <v>7.0846650000000002</v>
      </c>
      <c r="M5" s="56">
        <f>M4*(1+$A5)</f>
        <v>7.0846650000000002</v>
      </c>
      <c r="N5" s="56">
        <f>M5</f>
        <v>7.0846650000000002</v>
      </c>
      <c r="O5" s="56">
        <f>O4*(1+$A5)</f>
        <v>4.723110000000001</v>
      </c>
      <c r="P5" s="56">
        <f>P4*(1+$A5)</f>
        <v>4.723110000000001</v>
      </c>
      <c r="Q5" s="56">
        <f>Q4*(1+$A5)</f>
        <v>4.723110000000001</v>
      </c>
      <c r="R5" s="56">
        <f>R4*(1+$A5)</f>
        <v>4.723110000000001</v>
      </c>
      <c r="S5" s="56">
        <f>S4*(1+$A5)</f>
        <v>4.723110000000001</v>
      </c>
      <c r="T5" s="56">
        <f>T4*(1+$A5)</f>
        <v>4.723110000000001</v>
      </c>
      <c r="U5" s="56">
        <f>U4*(1+$A5)</f>
        <v>4.723110000000001</v>
      </c>
      <c r="V5" s="56">
        <f>V4*(1+$A5)</f>
        <v>4.723110000000001</v>
      </c>
      <c r="W5" s="65">
        <f>W4*(1+$A5)</f>
        <v>4.723110000000001</v>
      </c>
      <c r="X5" s="62">
        <v>121000</v>
      </c>
      <c r="Y5" s="63">
        <v>0.08</v>
      </c>
      <c r="Z5" s="64">
        <f t="shared" si="0"/>
        <v>130680.00000000001</v>
      </c>
      <c r="AM5" t="s">
        <v>123</v>
      </c>
      <c r="AN5" t="s">
        <v>28</v>
      </c>
      <c r="AO5">
        <v>0</v>
      </c>
    </row>
    <row r="6" spans="1:41">
      <c r="A6">
        <v>0.05</v>
      </c>
      <c r="B6" s="55" t="s">
        <v>124</v>
      </c>
      <c r="C6" s="56">
        <f t="shared" ref="C6:K7" si="1">C5*(1+$A6)</f>
        <v>30.995409375000008</v>
      </c>
      <c r="D6" s="56">
        <f t="shared" si="1"/>
        <v>28.515776625000008</v>
      </c>
      <c r="E6" s="56">
        <f t="shared" si="1"/>
        <v>22.316694750000003</v>
      </c>
      <c r="F6" s="56">
        <f t="shared" si="1"/>
        <v>17.357429250000003</v>
      </c>
      <c r="G6" s="56">
        <f t="shared" si="1"/>
        <v>13.637980125000002</v>
      </c>
      <c r="H6" s="56">
        <f t="shared" si="1"/>
        <v>12.39816375</v>
      </c>
      <c r="I6" s="56">
        <f t="shared" si="1"/>
        <v>11.158347375000002</v>
      </c>
      <c r="J6" s="56">
        <f t="shared" si="1"/>
        <v>9.9185310000000033</v>
      </c>
      <c r="K6" s="56">
        <f>J6</f>
        <v>9.9185310000000033</v>
      </c>
      <c r="L6" s="56">
        <f>L5*(1+$A6)</f>
        <v>7.4388982500000003</v>
      </c>
      <c r="M6" s="56">
        <f>L6</f>
        <v>7.4388982500000003</v>
      </c>
      <c r="N6" s="56">
        <f t="shared" ref="N6:W6" si="2">N5*(1+$A6)</f>
        <v>7.4388982500000003</v>
      </c>
      <c r="O6" s="56">
        <f>N6</f>
        <v>7.4388982500000003</v>
      </c>
      <c r="P6" s="56">
        <f t="shared" si="2"/>
        <v>4.9592655000000017</v>
      </c>
      <c r="Q6" s="56">
        <f t="shared" si="2"/>
        <v>4.9592655000000017</v>
      </c>
      <c r="R6" s="56">
        <f t="shared" si="2"/>
        <v>4.9592655000000017</v>
      </c>
      <c r="S6" s="56">
        <f t="shared" si="2"/>
        <v>4.9592655000000017</v>
      </c>
      <c r="T6" s="56">
        <f t="shared" si="2"/>
        <v>4.9592655000000017</v>
      </c>
      <c r="U6" s="56">
        <f t="shared" si="2"/>
        <v>4.9592655000000017</v>
      </c>
      <c r="V6" s="56">
        <f t="shared" si="2"/>
        <v>4.9592655000000017</v>
      </c>
      <c r="W6" s="56">
        <f t="shared" si="2"/>
        <v>4.9592655000000017</v>
      </c>
      <c r="X6" s="62">
        <f>X5*(1+A6)</f>
        <v>127050</v>
      </c>
      <c r="Y6" s="63">
        <v>0.1</v>
      </c>
      <c r="Z6" s="64">
        <f t="shared" ref="Z6:Z7" si="3">X6*(1+Y6)</f>
        <v>139755</v>
      </c>
      <c r="AM6" t="s">
        <v>125</v>
      </c>
      <c r="AN6" t="s">
        <v>39</v>
      </c>
      <c r="AO6">
        <v>1</v>
      </c>
    </row>
    <row r="7" spans="1:41">
      <c r="A7">
        <v>0.05</v>
      </c>
      <c r="B7" s="55" t="s">
        <v>126</v>
      </c>
      <c r="C7" s="56">
        <f t="shared" si="1"/>
        <v>32.545179843750013</v>
      </c>
      <c r="D7" s="56">
        <f t="shared" si="1"/>
        <v>29.941565456250011</v>
      </c>
      <c r="E7" s="56">
        <f t="shared" si="1"/>
        <v>23.432529487500005</v>
      </c>
      <c r="F7" s="56">
        <f t="shared" si="1"/>
        <v>18.225300712500005</v>
      </c>
      <c r="G7" s="56">
        <f t="shared" si="1"/>
        <v>14.319879131250003</v>
      </c>
      <c r="H7" s="56">
        <f t="shared" si="1"/>
        <v>13.0180719375</v>
      </c>
      <c r="I7" s="56">
        <f t="shared" si="1"/>
        <v>11.716264743750003</v>
      </c>
      <c r="J7" s="56">
        <f t="shared" si="1"/>
        <v>10.414457550000003</v>
      </c>
      <c r="K7" s="56">
        <f t="shared" si="1"/>
        <v>10.414457550000003</v>
      </c>
      <c r="L7" s="56">
        <f>K7</f>
        <v>10.414457550000003</v>
      </c>
      <c r="M7" s="56">
        <f>M6*(1+$A7)</f>
        <v>7.8108431625000003</v>
      </c>
      <c r="N7" s="56">
        <f>M7</f>
        <v>7.8108431625000003</v>
      </c>
      <c r="O7" s="56">
        <f t="shared" ref="O7:W7" si="4">O6*(1+$A7)</f>
        <v>7.8108431625000003</v>
      </c>
      <c r="P7" s="56">
        <f>O7</f>
        <v>7.8108431625000003</v>
      </c>
      <c r="Q7" s="56">
        <f t="shared" si="4"/>
        <v>5.2072287750000017</v>
      </c>
      <c r="R7" s="56">
        <f t="shared" si="4"/>
        <v>5.2072287750000017</v>
      </c>
      <c r="S7" s="56">
        <f t="shared" si="4"/>
        <v>5.2072287750000017</v>
      </c>
      <c r="T7" s="56">
        <f t="shared" si="4"/>
        <v>5.2072287750000017</v>
      </c>
      <c r="U7" s="56">
        <f t="shared" si="4"/>
        <v>5.2072287750000017</v>
      </c>
      <c r="V7" s="56">
        <f t="shared" si="4"/>
        <v>5.2072287750000017</v>
      </c>
      <c r="W7" s="65">
        <f t="shared" si="4"/>
        <v>5.2072287750000017</v>
      </c>
      <c r="X7" s="62">
        <f>X6*(1+A7)</f>
        <v>133402.5</v>
      </c>
      <c r="Y7" s="63">
        <v>0.1</v>
      </c>
      <c r="Z7" s="64">
        <f t="shared" si="3"/>
        <v>146742.75</v>
      </c>
      <c r="AM7" t="s">
        <v>12</v>
      </c>
      <c r="AO7">
        <v>2</v>
      </c>
    </row>
    <row r="8" spans="1:41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65"/>
      <c r="X8" s="62"/>
      <c r="Y8" s="63"/>
      <c r="Z8" s="64"/>
      <c r="AM8" t="s">
        <v>127</v>
      </c>
      <c r="AO8">
        <v>3</v>
      </c>
    </row>
    <row r="9" spans="1:41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65"/>
      <c r="X9" s="62"/>
      <c r="Y9" s="63"/>
      <c r="Z9" s="64"/>
      <c r="AO9">
        <v>4</v>
      </c>
    </row>
    <row r="10" spans="1:41">
      <c r="C10" s="64"/>
      <c r="D10" s="64"/>
      <c r="E10" s="64"/>
      <c r="F10" s="64"/>
      <c r="G10" s="64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AO10">
        <v>5</v>
      </c>
    </row>
    <row r="11" spans="1:41">
      <c r="B11" s="51" t="s">
        <v>128</v>
      </c>
      <c r="C11" s="64"/>
      <c r="D11" s="64"/>
      <c r="E11" s="64"/>
      <c r="F11" s="64"/>
      <c r="G11" s="64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7"/>
      <c r="AO11">
        <v>6</v>
      </c>
    </row>
    <row r="12" spans="1:41">
      <c r="B12" s="55" t="str">
        <f>$B$4</f>
        <v>2024/2025</v>
      </c>
      <c r="C12" s="68">
        <v>458.81640000000004</v>
      </c>
      <c r="D12" s="68">
        <v>573.52050000000008</v>
      </c>
      <c r="E12" s="68">
        <v>4014.6435000000006</v>
      </c>
      <c r="F12" s="68">
        <v>4014.6435000000006</v>
      </c>
      <c r="G12" s="68">
        <v>4014.6435000000006</v>
      </c>
      <c r="H12" s="68">
        <v>5161.6845000000003</v>
      </c>
      <c r="I12" s="68">
        <v>5161.6845000000003</v>
      </c>
      <c r="J12" s="68">
        <v>5161.6845000000003</v>
      </c>
      <c r="K12" s="68">
        <v>6882.246000000001</v>
      </c>
      <c r="L12" s="68">
        <v>6882.246000000001</v>
      </c>
      <c r="M12" s="62">
        <v>6882.246000000001</v>
      </c>
      <c r="N12" s="62">
        <v>6882.246000000001</v>
      </c>
      <c r="O12" s="62">
        <v>6882.246000000001</v>
      </c>
      <c r="P12" s="62">
        <v>6882.246000000001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7"/>
      <c r="AO12">
        <v>7</v>
      </c>
    </row>
    <row r="13" spans="1:41">
      <c r="B13" s="55" t="str">
        <f>$B$5</f>
        <v>2025/2026</v>
      </c>
      <c r="C13" s="56">
        <f>C12*(1+$A5)</f>
        <v>481.75722000000007</v>
      </c>
      <c r="D13" s="56">
        <f t="shared" ref="D13:P13" si="5">D12*(1+$A5)</f>
        <v>602.19652500000007</v>
      </c>
      <c r="E13" s="56">
        <f t="shared" si="5"/>
        <v>4215.3756750000011</v>
      </c>
      <c r="F13" s="56">
        <f t="shared" si="5"/>
        <v>4215.3756750000011</v>
      </c>
      <c r="G13" s="56">
        <f t="shared" si="5"/>
        <v>4215.3756750000011</v>
      </c>
      <c r="H13" s="56">
        <f t="shared" si="5"/>
        <v>5419.7687250000008</v>
      </c>
      <c r="I13" s="56">
        <f t="shared" si="5"/>
        <v>5419.7687250000008</v>
      </c>
      <c r="J13" s="56">
        <f t="shared" si="5"/>
        <v>5419.7687250000008</v>
      </c>
      <c r="K13" s="56">
        <f t="shared" si="5"/>
        <v>7226.3583000000017</v>
      </c>
      <c r="L13" s="56">
        <f t="shared" si="5"/>
        <v>7226.3583000000017</v>
      </c>
      <c r="M13" s="56">
        <f t="shared" si="5"/>
        <v>7226.3583000000017</v>
      </c>
      <c r="N13" s="56">
        <f t="shared" si="5"/>
        <v>7226.3583000000017</v>
      </c>
      <c r="O13" s="56">
        <f t="shared" si="5"/>
        <v>7226.3583000000017</v>
      </c>
      <c r="P13" s="56">
        <f t="shared" si="5"/>
        <v>7226.3583000000017</v>
      </c>
      <c r="Q13" s="56">
        <f t="shared" ref="Q13:Q15" si="6">Q12*(1+$A5)</f>
        <v>0</v>
      </c>
      <c r="R13" s="56">
        <f t="shared" ref="R13:R15" si="7">R12*(1+$A5)</f>
        <v>0</v>
      </c>
      <c r="S13" s="56">
        <f t="shared" ref="S13:S15" si="8">S12*(1+$A5)</f>
        <v>0</v>
      </c>
      <c r="T13" s="56">
        <f t="shared" ref="T13:T15" si="9">T12*(1+$A5)</f>
        <v>0</v>
      </c>
      <c r="U13" s="56">
        <f t="shared" ref="U13:U15" si="10">U12*(1+$A5)</f>
        <v>0</v>
      </c>
      <c r="V13" s="56">
        <f t="shared" ref="V13:V15" si="11">V12*(1+$A5)</f>
        <v>0</v>
      </c>
      <c r="W13" s="56">
        <f t="shared" ref="W13:W15" si="12">W12*(1+$A5)</f>
        <v>0</v>
      </c>
      <c r="X13" s="67"/>
      <c r="AO13">
        <v>8</v>
      </c>
    </row>
    <row r="14" spans="1:41">
      <c r="B14" s="55" t="str">
        <f>$B$6</f>
        <v>2026/2027</v>
      </c>
      <c r="C14" s="56">
        <f>C13*(1+$A6)</f>
        <v>505.84508100000011</v>
      </c>
      <c r="D14" s="56">
        <f t="shared" ref="D14:P14" si="13">D13*(1+$A6)</f>
        <v>632.30635125000015</v>
      </c>
      <c r="E14" s="56">
        <f t="shared" si="13"/>
        <v>4426.1444587500018</v>
      </c>
      <c r="F14" s="56">
        <f t="shared" si="13"/>
        <v>4426.1444587500018</v>
      </c>
      <c r="G14" s="56">
        <f t="shared" si="13"/>
        <v>4426.1444587500018</v>
      </c>
      <c r="H14" s="56">
        <f t="shared" si="13"/>
        <v>5690.7571612500014</v>
      </c>
      <c r="I14" s="56">
        <f t="shared" si="13"/>
        <v>5690.7571612500014</v>
      </c>
      <c r="J14" s="56">
        <f t="shared" si="13"/>
        <v>5690.7571612500014</v>
      </c>
      <c r="K14" s="56">
        <f t="shared" si="13"/>
        <v>7587.6762150000022</v>
      </c>
      <c r="L14" s="56">
        <f t="shared" si="13"/>
        <v>7587.6762150000022</v>
      </c>
      <c r="M14" s="56">
        <f t="shared" si="13"/>
        <v>7587.6762150000022</v>
      </c>
      <c r="N14" s="56">
        <f t="shared" si="13"/>
        <v>7587.6762150000022</v>
      </c>
      <c r="O14" s="56">
        <f t="shared" si="13"/>
        <v>7587.6762150000022</v>
      </c>
      <c r="P14" s="56">
        <f t="shared" si="13"/>
        <v>7587.6762150000022</v>
      </c>
      <c r="Q14" s="56">
        <f t="shared" si="6"/>
        <v>0</v>
      </c>
      <c r="R14" s="56">
        <f t="shared" si="7"/>
        <v>0</v>
      </c>
      <c r="S14" s="56">
        <f t="shared" si="8"/>
        <v>0</v>
      </c>
      <c r="T14" s="56">
        <f t="shared" si="9"/>
        <v>0</v>
      </c>
      <c r="U14" s="56">
        <f t="shared" si="10"/>
        <v>0</v>
      </c>
      <c r="V14" s="56">
        <f t="shared" si="11"/>
        <v>0</v>
      </c>
      <c r="W14" s="56">
        <f t="shared" si="12"/>
        <v>0</v>
      </c>
      <c r="X14" s="67"/>
      <c r="AO14">
        <v>9</v>
      </c>
    </row>
    <row r="15" spans="1:41">
      <c r="B15" s="55" t="str">
        <f>$B$7</f>
        <v>2027/2028</v>
      </c>
      <c r="C15" s="56">
        <f>C14*(1+$A7)</f>
        <v>531.13733505000016</v>
      </c>
      <c r="D15" s="56">
        <f t="shared" ref="D15:P15" si="14">D14*(1+$A7)</f>
        <v>663.92166881250023</v>
      </c>
      <c r="E15" s="56">
        <f t="shared" si="14"/>
        <v>4647.4516816875021</v>
      </c>
      <c r="F15" s="56">
        <f t="shared" si="14"/>
        <v>4647.4516816875021</v>
      </c>
      <c r="G15" s="56">
        <f t="shared" si="14"/>
        <v>4647.4516816875021</v>
      </c>
      <c r="H15" s="56">
        <f t="shared" si="14"/>
        <v>5975.2950193125016</v>
      </c>
      <c r="I15" s="56">
        <f t="shared" si="14"/>
        <v>5975.2950193125016</v>
      </c>
      <c r="J15" s="56">
        <f t="shared" si="14"/>
        <v>5975.2950193125016</v>
      </c>
      <c r="K15" s="56">
        <f t="shared" si="14"/>
        <v>7967.0600257500028</v>
      </c>
      <c r="L15" s="56">
        <f t="shared" si="14"/>
        <v>7967.0600257500028</v>
      </c>
      <c r="M15" s="56">
        <f t="shared" si="14"/>
        <v>7967.0600257500028</v>
      </c>
      <c r="N15" s="56">
        <f t="shared" si="14"/>
        <v>7967.0600257500028</v>
      </c>
      <c r="O15" s="56">
        <f t="shared" si="14"/>
        <v>7967.0600257500028</v>
      </c>
      <c r="P15" s="56">
        <f t="shared" si="14"/>
        <v>7967.0600257500028</v>
      </c>
      <c r="Q15" s="56">
        <f t="shared" si="6"/>
        <v>0</v>
      </c>
      <c r="R15" s="56">
        <f t="shared" si="7"/>
        <v>0</v>
      </c>
      <c r="S15" s="56">
        <f t="shared" si="8"/>
        <v>0</v>
      </c>
      <c r="T15" s="56">
        <f t="shared" si="9"/>
        <v>0</v>
      </c>
      <c r="U15" s="56">
        <f t="shared" si="10"/>
        <v>0</v>
      </c>
      <c r="V15" s="56">
        <f t="shared" si="11"/>
        <v>0</v>
      </c>
      <c r="W15" s="56">
        <f t="shared" si="12"/>
        <v>0</v>
      </c>
      <c r="AM15" t="s">
        <v>123</v>
      </c>
      <c r="AO15">
        <v>10</v>
      </c>
    </row>
    <row r="16" spans="1:41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AM16" t="s">
        <v>125</v>
      </c>
    </row>
    <row r="17" spans="2:39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AM17" t="s">
        <v>129</v>
      </c>
    </row>
    <row r="18" spans="2:39"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AM18" t="s">
        <v>130</v>
      </c>
    </row>
    <row r="19" spans="2:39" ht="15.75" thickBot="1">
      <c r="B19" s="51" t="s">
        <v>131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AM19" t="s">
        <v>127</v>
      </c>
    </row>
    <row r="20" spans="2:39" ht="15.75" thickBot="1">
      <c r="B20" s="55" t="str">
        <f>$B$4</f>
        <v>2024/2025</v>
      </c>
      <c r="C20" s="68">
        <v>1146.6000000000001</v>
      </c>
      <c r="D20" s="64"/>
      <c r="E20" s="69" t="s">
        <v>132</v>
      </c>
      <c r="F20" s="70"/>
      <c r="G20" s="71">
        <v>50</v>
      </c>
      <c r="H20" s="72" t="s">
        <v>133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</row>
    <row r="21" spans="2:39" ht="15.75" thickBot="1">
      <c r="B21" s="55" t="str">
        <f>$B$5</f>
        <v>2025/2026</v>
      </c>
      <c r="C21" s="56">
        <f>C20*(1+A5)</f>
        <v>1203.9300000000003</v>
      </c>
      <c r="D21" s="64"/>
      <c r="E21" s="69" t="s">
        <v>134</v>
      </c>
      <c r="F21" s="70"/>
      <c r="G21" s="70"/>
      <c r="H21" s="72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</row>
    <row r="22" spans="2:39">
      <c r="B22" s="55" t="str">
        <f>$B$6</f>
        <v>2026/2027</v>
      </c>
      <c r="C22" s="56">
        <f t="shared" ref="C22:C23" si="15">C21*(1+A6)</f>
        <v>1264.1265000000003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</row>
    <row r="23" spans="2:39">
      <c r="B23" s="55" t="str">
        <f>$B$7</f>
        <v>2027/2028</v>
      </c>
      <c r="C23" s="56">
        <f t="shared" si="15"/>
        <v>1327.3328250000004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2:39">
      <c r="B24" s="55"/>
      <c r="C24" s="5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2:39">
      <c r="B25" s="55"/>
      <c r="C25" s="56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pans="2:39"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</row>
    <row r="27" spans="2:39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2:39">
      <c r="B28" s="51" t="s">
        <v>135</v>
      </c>
      <c r="C28" s="64"/>
      <c r="D28" s="64"/>
      <c r="E28" s="64" t="s">
        <v>136</v>
      </c>
      <c r="F28" s="64"/>
      <c r="G28" s="64"/>
      <c r="H28" s="64" t="s">
        <v>130</v>
      </c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2:39">
      <c r="B29" t="s">
        <v>123</v>
      </c>
      <c r="C29" s="64" t="s">
        <v>17</v>
      </c>
      <c r="D29" s="64"/>
      <c r="E29" t="s">
        <v>137</v>
      </c>
      <c r="F29" s="64" t="s">
        <v>17</v>
      </c>
      <c r="G29" s="64"/>
      <c r="H29" t="s">
        <v>138</v>
      </c>
      <c r="I29" s="64" t="s">
        <v>17</v>
      </c>
      <c r="J29" s="64"/>
      <c r="K29" t="s">
        <v>139</v>
      </c>
      <c r="L29" s="64" t="s">
        <v>17</v>
      </c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2:39">
      <c r="B30" s="55" t="str">
        <f>$B$4</f>
        <v>2024/2025</v>
      </c>
      <c r="C30" s="68">
        <v>573.52050000000008</v>
      </c>
      <c r="D30" s="64"/>
      <c r="E30" s="55" t="str">
        <f t="shared" ref="E30:E33" si="16">$B12</f>
        <v>2024/2025</v>
      </c>
      <c r="F30" s="68">
        <v>860.28075000000001</v>
      </c>
      <c r="G30" s="64"/>
      <c r="H30" s="55" t="str">
        <f t="shared" ref="H30:H33" si="17">$B12</f>
        <v>2024/2025</v>
      </c>
      <c r="I30" s="68">
        <v>1147.0410000000002</v>
      </c>
      <c r="J30" s="64"/>
      <c r="K30" s="55" t="str">
        <f t="shared" ref="K30:K33" si="18">$B12</f>
        <v>2024/2025</v>
      </c>
      <c r="L30" s="68">
        <v>1147.0410000000002</v>
      </c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2:39">
      <c r="B31" s="55" t="str">
        <f>$B$5</f>
        <v>2025/2026</v>
      </c>
      <c r="C31" s="56">
        <f>C30*(1+$A5)</f>
        <v>602.19652500000007</v>
      </c>
      <c r="D31" s="64"/>
      <c r="E31" s="55" t="str">
        <f t="shared" si="16"/>
        <v>2025/2026</v>
      </c>
      <c r="F31" s="56">
        <f>F30*(1+$A5)</f>
        <v>903.2947875000001</v>
      </c>
      <c r="G31" s="64"/>
      <c r="H31" s="55" t="str">
        <f t="shared" si="17"/>
        <v>2025/2026</v>
      </c>
      <c r="I31" s="56">
        <f>I30*(1+$A5)</f>
        <v>1204.3930500000001</v>
      </c>
      <c r="J31" s="64"/>
      <c r="K31" s="55" t="str">
        <f t="shared" si="18"/>
        <v>2025/2026</v>
      </c>
      <c r="L31" s="56">
        <f>L30*(1+$A5)</f>
        <v>1204.3930500000001</v>
      </c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</row>
    <row r="32" spans="2:39">
      <c r="B32" s="55" t="str">
        <f>$B$6</f>
        <v>2026/2027</v>
      </c>
      <c r="C32" s="56">
        <f t="shared" ref="C32:C33" si="19">C31*(1+$A6)</f>
        <v>632.30635125000015</v>
      </c>
      <c r="D32" s="64"/>
      <c r="E32" s="55" t="str">
        <f t="shared" si="16"/>
        <v>2026/2027</v>
      </c>
      <c r="F32" s="56">
        <f t="shared" ref="F32:F33" si="20">F31*(1+$A6)</f>
        <v>948.45952687500017</v>
      </c>
      <c r="G32" s="64"/>
      <c r="H32" s="55" t="str">
        <f t="shared" si="17"/>
        <v>2026/2027</v>
      </c>
      <c r="I32" s="56">
        <f t="shared" ref="I32:I33" si="21">I31*(1+$A6)</f>
        <v>1264.6127025000003</v>
      </c>
      <c r="J32" s="64"/>
      <c r="K32" s="55" t="str">
        <f t="shared" si="18"/>
        <v>2026/2027</v>
      </c>
      <c r="L32" s="56">
        <f t="shared" ref="L32:L33" si="22">L31*(1+$A6)</f>
        <v>1264.6127025000003</v>
      </c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  <row r="33" spans="2:23">
      <c r="B33" s="55" t="str">
        <f>$B$7</f>
        <v>2027/2028</v>
      </c>
      <c r="C33" s="56">
        <f t="shared" si="19"/>
        <v>663.92166881250023</v>
      </c>
      <c r="D33" s="64"/>
      <c r="E33" s="55" t="str">
        <f t="shared" si="16"/>
        <v>2027/2028</v>
      </c>
      <c r="F33" s="56">
        <f t="shared" si="20"/>
        <v>995.88250321875023</v>
      </c>
      <c r="G33" s="64"/>
      <c r="H33" s="55" t="str">
        <f t="shared" si="17"/>
        <v>2027/2028</v>
      </c>
      <c r="I33" s="56">
        <f t="shared" si="21"/>
        <v>1327.8433376250005</v>
      </c>
      <c r="J33" s="64"/>
      <c r="K33" s="55" t="str">
        <f t="shared" si="18"/>
        <v>2027/2028</v>
      </c>
      <c r="L33" s="56">
        <f t="shared" si="22"/>
        <v>1327.8433376250005</v>
      </c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2:23">
      <c r="B34" s="55"/>
      <c r="C34" s="56"/>
      <c r="D34" s="64"/>
      <c r="E34" s="55"/>
      <c r="F34" s="56"/>
      <c r="G34" s="64"/>
      <c r="H34" s="55"/>
      <c r="I34" s="56"/>
      <c r="J34" s="64"/>
      <c r="K34" s="55"/>
      <c r="L34" s="56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2:23">
      <c r="B35" s="55"/>
      <c r="C35" s="56"/>
      <c r="D35" s="64"/>
      <c r="E35" s="55"/>
      <c r="F35" s="56"/>
      <c r="G35" s="64"/>
      <c r="H35" s="55"/>
      <c r="I35" s="56"/>
      <c r="J35" s="64"/>
      <c r="K35" s="55"/>
      <c r="L35" s="56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</row>
    <row r="36" spans="2:23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2:23">
      <c r="B37" s="51" t="s">
        <v>140</v>
      </c>
      <c r="C37" s="64"/>
      <c r="D37" s="64"/>
      <c r="E37" s="64" t="s">
        <v>136</v>
      </c>
      <c r="F37" s="64"/>
      <c r="G37" s="64"/>
      <c r="H37" s="64" t="s">
        <v>130</v>
      </c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2:23">
      <c r="B38" t="s">
        <v>123</v>
      </c>
      <c r="C38" s="64" t="s">
        <v>17</v>
      </c>
      <c r="D38" s="64"/>
      <c r="E38" t="s">
        <v>137</v>
      </c>
      <c r="F38" s="64" t="s">
        <v>17</v>
      </c>
      <c r="G38" s="64"/>
      <c r="H38" t="s">
        <v>138</v>
      </c>
      <c r="I38" s="64" t="s">
        <v>17</v>
      </c>
      <c r="J38" s="64"/>
      <c r="K38" t="s">
        <v>139</v>
      </c>
      <c r="L38" s="64" t="s">
        <v>17</v>
      </c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2:23">
      <c r="B39" s="55" t="str">
        <f>$B$4</f>
        <v>2024/2025</v>
      </c>
      <c r="C39" s="68">
        <v>860.28075000000001</v>
      </c>
      <c r="D39" s="64"/>
      <c r="E39" s="55" t="str">
        <f>B39</f>
        <v>2024/2025</v>
      </c>
      <c r="F39" s="68">
        <v>1147.0410000000002</v>
      </c>
      <c r="G39" s="64"/>
      <c r="H39" s="55" t="str">
        <f>B39</f>
        <v>2024/2025</v>
      </c>
      <c r="I39" s="68">
        <v>1720.5615</v>
      </c>
      <c r="J39" s="64"/>
      <c r="K39" s="55" t="str">
        <f>H39</f>
        <v>2024/2025</v>
      </c>
      <c r="L39" s="68">
        <v>1720.5615</v>
      </c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2:23">
      <c r="B40" s="55" t="str">
        <f>$B$5</f>
        <v>2025/2026</v>
      </c>
      <c r="C40" s="56">
        <f>C39*(1+$A5)</f>
        <v>903.2947875000001</v>
      </c>
      <c r="D40" s="64"/>
      <c r="E40" s="55" t="str">
        <f t="shared" ref="E40:E42" si="23">B40</f>
        <v>2025/2026</v>
      </c>
      <c r="F40" s="56">
        <f>F39*(1+$A5)</f>
        <v>1204.3930500000001</v>
      </c>
      <c r="G40" s="64"/>
      <c r="H40" s="55" t="str">
        <f t="shared" ref="H40:H42" si="24">B40</f>
        <v>2025/2026</v>
      </c>
      <c r="I40" s="56">
        <f>I39*(1+$A5)</f>
        <v>1806.5895750000002</v>
      </c>
      <c r="J40" s="64"/>
      <c r="K40" s="55" t="str">
        <f t="shared" ref="K40:K42" si="25">H40</f>
        <v>2025/2026</v>
      </c>
      <c r="L40" s="56">
        <f>L39*(1+$A5)</f>
        <v>1806.5895750000002</v>
      </c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2:23">
      <c r="B41" s="55" t="str">
        <f>$B$6</f>
        <v>2026/2027</v>
      </c>
      <c r="C41" s="56">
        <f t="shared" ref="C41:C42" si="26">C40*(1+$A6)</f>
        <v>948.45952687500017</v>
      </c>
      <c r="D41" s="64"/>
      <c r="E41" s="55" t="str">
        <f t="shared" si="23"/>
        <v>2026/2027</v>
      </c>
      <c r="F41" s="56">
        <f t="shared" ref="F41:F42" si="27">F40*(1+$A6)</f>
        <v>1264.6127025000003</v>
      </c>
      <c r="G41" s="64"/>
      <c r="H41" s="55" t="str">
        <f t="shared" si="24"/>
        <v>2026/2027</v>
      </c>
      <c r="I41" s="56">
        <f t="shared" ref="I41:I42" si="28">I40*(1+$A6)</f>
        <v>1896.9190537500003</v>
      </c>
      <c r="J41" s="64"/>
      <c r="K41" s="55" t="str">
        <f t="shared" si="25"/>
        <v>2026/2027</v>
      </c>
      <c r="L41" s="56">
        <f t="shared" ref="L41:L42" si="29">L40*(1+$A6)</f>
        <v>1896.9190537500003</v>
      </c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2:23">
      <c r="B42" s="55" t="str">
        <f>$B$7</f>
        <v>2027/2028</v>
      </c>
      <c r="C42" s="56">
        <f t="shared" si="26"/>
        <v>995.88250321875023</v>
      </c>
      <c r="D42" s="64"/>
      <c r="E42" s="55" t="str">
        <f t="shared" si="23"/>
        <v>2027/2028</v>
      </c>
      <c r="F42" s="56">
        <f t="shared" si="27"/>
        <v>1327.8433376250005</v>
      </c>
      <c r="G42" s="64"/>
      <c r="H42" s="55" t="str">
        <f t="shared" si="24"/>
        <v>2027/2028</v>
      </c>
      <c r="I42" s="56">
        <f t="shared" si="28"/>
        <v>1991.7650064375005</v>
      </c>
      <c r="J42" s="64"/>
      <c r="K42" s="55" t="str">
        <f t="shared" si="25"/>
        <v>2027/2028</v>
      </c>
      <c r="L42" s="56">
        <f t="shared" si="29"/>
        <v>1991.7650064375005</v>
      </c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2:23">
      <c r="B43" s="55"/>
      <c r="C43" s="56"/>
      <c r="D43" s="64"/>
      <c r="E43" s="55"/>
      <c r="F43" s="56"/>
      <c r="G43" s="64"/>
      <c r="H43" s="55"/>
      <c r="I43" s="56"/>
      <c r="J43" s="64"/>
      <c r="K43" s="55"/>
      <c r="L43" s="56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</row>
    <row r="44" spans="2:23">
      <c r="B44" s="55"/>
      <c r="C44" s="56"/>
      <c r="D44" s="64"/>
      <c r="E44" s="55"/>
      <c r="F44" s="56"/>
      <c r="G44" s="64"/>
      <c r="H44" s="55"/>
      <c r="I44" s="56"/>
      <c r="J44" s="64"/>
      <c r="K44" s="55"/>
      <c r="L44" s="56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</row>
    <row r="45" spans="2:23"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</row>
    <row r="46" spans="2:23">
      <c r="B46" s="51" t="s">
        <v>141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2:23">
      <c r="B47" t="s">
        <v>142</v>
      </c>
      <c r="C47" s="64" t="s">
        <v>17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2:23">
      <c r="B48" s="55" t="str">
        <f>$B$4</f>
        <v>2024/2025</v>
      </c>
      <c r="C48" s="68">
        <v>573.52050000000008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2:23">
      <c r="B49" s="55" t="str">
        <f>$B$5</f>
        <v>2025/2026</v>
      </c>
      <c r="C49" s="56">
        <f>C48*(1+$A5)</f>
        <v>602.19652500000007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2:23">
      <c r="B50" s="55" t="str">
        <f>$B$6</f>
        <v>2026/2027</v>
      </c>
      <c r="C50" s="56">
        <f t="shared" ref="C50:C51" si="30">C49*(1+$A6)</f>
        <v>632.30635125000015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</row>
    <row r="51" spans="2:23">
      <c r="B51" s="55" t="str">
        <f>$B$7</f>
        <v>2027/2028</v>
      </c>
      <c r="C51" s="56">
        <f t="shared" si="30"/>
        <v>663.92166881250023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</row>
    <row r="52" spans="2:23">
      <c r="B52" s="55"/>
      <c r="C52" s="56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</row>
    <row r="53" spans="2:23">
      <c r="B53" s="55"/>
      <c r="C53" s="56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</row>
    <row r="54" spans="2:23"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2:23"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2:23">
      <c r="B56" s="51" t="s">
        <v>143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</row>
    <row r="57" spans="2:23">
      <c r="B57" t="s">
        <v>142</v>
      </c>
      <c r="C57" s="64" t="s">
        <v>17</v>
      </c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</row>
    <row r="58" spans="2:23">
      <c r="B58" s="55" t="str">
        <f>$B$4</f>
        <v>2024/2025</v>
      </c>
      <c r="C58" s="68">
        <v>112.45500000000001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</row>
    <row r="59" spans="2:23">
      <c r="B59" s="55" t="str">
        <f>$B$5</f>
        <v>2025/2026</v>
      </c>
      <c r="C59" s="56">
        <f>C58*(1+$A5)</f>
        <v>118.07775000000002</v>
      </c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</row>
    <row r="60" spans="2:23">
      <c r="B60" s="55" t="str">
        <f>$B$6</f>
        <v>2026/2027</v>
      </c>
      <c r="C60" s="56">
        <f t="shared" ref="C60:C61" si="31">C59*(1+$A6)</f>
        <v>123.98163750000003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</row>
    <row r="61" spans="2:23">
      <c r="B61" s="55" t="str">
        <f>$B$7</f>
        <v>2027/2028</v>
      </c>
      <c r="C61" s="56">
        <f t="shared" si="31"/>
        <v>130.18071937500005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</row>
    <row r="62" spans="2:23">
      <c r="B62" s="55"/>
      <c r="C62" s="56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</row>
    <row r="63" spans="2:23">
      <c r="B63" s="55"/>
      <c r="C63" s="56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</row>
    <row r="64" spans="2:23"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</row>
    <row r="65" spans="2:24">
      <c r="B65" s="51" t="s">
        <v>144</v>
      </c>
      <c r="C65" s="64"/>
      <c r="D65" s="64"/>
      <c r="E65" s="64" t="s">
        <v>136</v>
      </c>
      <c r="F65" s="64"/>
      <c r="G65" s="64"/>
      <c r="H65" s="64" t="s">
        <v>130</v>
      </c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</row>
    <row r="66" spans="2:24">
      <c r="B66" t="s">
        <v>123</v>
      </c>
      <c r="C66" s="64" t="s">
        <v>17</v>
      </c>
      <c r="D66" s="64"/>
      <c r="E66" t="s">
        <v>137</v>
      </c>
      <c r="F66" s="64" t="s">
        <v>17</v>
      </c>
      <c r="G66" s="64"/>
      <c r="H66" t="s">
        <v>138</v>
      </c>
      <c r="I66" s="64" t="s">
        <v>17</v>
      </c>
      <c r="J66" s="64"/>
      <c r="K66" t="s">
        <v>139</v>
      </c>
      <c r="L66" s="64" t="s">
        <v>17</v>
      </c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</row>
    <row r="67" spans="2:24">
      <c r="B67" s="55" t="str">
        <f>$B$4</f>
        <v>2024/2025</v>
      </c>
      <c r="C67" s="56">
        <v>0</v>
      </c>
      <c r="D67" s="64"/>
      <c r="E67" s="55" t="str">
        <f t="shared" ref="E67:E70" si="32">$B48</f>
        <v>2024/2025</v>
      </c>
      <c r="F67" s="56">
        <v>0</v>
      </c>
      <c r="G67" s="64"/>
      <c r="H67" s="55" t="str">
        <f t="shared" ref="H67:H70" si="33">$B48</f>
        <v>2024/2025</v>
      </c>
      <c r="I67" s="56">
        <v>0</v>
      </c>
      <c r="J67" s="64"/>
      <c r="K67" s="55" t="str">
        <f t="shared" ref="K67:K70" si="34">$B48</f>
        <v>2024/2025</v>
      </c>
      <c r="L67" s="56">
        <v>0</v>
      </c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</row>
    <row r="68" spans="2:24">
      <c r="B68" s="55" t="str">
        <f>$B$5</f>
        <v>2025/2026</v>
      </c>
      <c r="C68" s="56">
        <f>C67*(1+$A5)</f>
        <v>0</v>
      </c>
      <c r="D68" s="64"/>
      <c r="E68" s="55" t="str">
        <f t="shared" si="32"/>
        <v>2025/2026</v>
      </c>
      <c r="F68" s="56">
        <f>F67*(1+$A5)</f>
        <v>0</v>
      </c>
      <c r="G68" s="64"/>
      <c r="H68" s="55" t="str">
        <f t="shared" si="33"/>
        <v>2025/2026</v>
      </c>
      <c r="I68" s="56">
        <f>I67*(1+$A5)</f>
        <v>0</v>
      </c>
      <c r="J68" s="64"/>
      <c r="K68" s="55" t="str">
        <f t="shared" si="34"/>
        <v>2025/2026</v>
      </c>
      <c r="L68" s="56">
        <f>L67*(1+$A5)</f>
        <v>0</v>
      </c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</row>
    <row r="69" spans="2:24">
      <c r="B69" s="55" t="str">
        <f>$B$6</f>
        <v>2026/2027</v>
      </c>
      <c r="C69" s="56">
        <f t="shared" ref="C69:C70" si="35">C68*(1+$A6)</f>
        <v>0</v>
      </c>
      <c r="D69" s="64"/>
      <c r="E69" s="55" t="str">
        <f t="shared" si="32"/>
        <v>2026/2027</v>
      </c>
      <c r="F69" s="56">
        <f t="shared" ref="F69:F70" si="36">F68*(1+$A6)</f>
        <v>0</v>
      </c>
      <c r="G69" s="64"/>
      <c r="H69" s="55" t="str">
        <f t="shared" si="33"/>
        <v>2026/2027</v>
      </c>
      <c r="I69" s="56">
        <f t="shared" ref="I69:I70" si="37">I68*(1+$A6)</f>
        <v>0</v>
      </c>
      <c r="J69" s="64"/>
      <c r="K69" s="55" t="str">
        <f t="shared" si="34"/>
        <v>2026/2027</v>
      </c>
      <c r="L69" s="56">
        <f t="shared" ref="L69:L70" si="38">L68*(1+$A6)</f>
        <v>0</v>
      </c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</row>
    <row r="70" spans="2:24">
      <c r="B70" s="55" t="str">
        <f>$B$7</f>
        <v>2027/2028</v>
      </c>
      <c r="C70" s="56">
        <f t="shared" si="35"/>
        <v>0</v>
      </c>
      <c r="D70" s="64"/>
      <c r="E70" s="55" t="str">
        <f t="shared" si="32"/>
        <v>2027/2028</v>
      </c>
      <c r="F70" s="56">
        <f t="shared" si="36"/>
        <v>0</v>
      </c>
      <c r="G70" s="64"/>
      <c r="H70" s="55" t="str">
        <f t="shared" si="33"/>
        <v>2027/2028</v>
      </c>
      <c r="I70" s="56">
        <f t="shared" si="37"/>
        <v>0</v>
      </c>
      <c r="J70" s="64"/>
      <c r="K70" s="55" t="str">
        <f t="shared" si="34"/>
        <v>2027/2028</v>
      </c>
      <c r="L70" s="56">
        <f t="shared" si="38"/>
        <v>0</v>
      </c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</row>
    <row r="71" spans="2:24">
      <c r="B71" s="55"/>
      <c r="C71" s="56"/>
      <c r="D71" s="64"/>
      <c r="E71" s="55"/>
      <c r="F71" s="56"/>
      <c r="G71" s="64"/>
      <c r="H71" s="55"/>
      <c r="I71" s="56"/>
      <c r="J71" s="64"/>
      <c r="K71" s="55"/>
      <c r="L71" s="56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</row>
    <row r="72" spans="2:24">
      <c r="B72" s="55"/>
      <c r="C72" s="56"/>
      <c r="D72" s="64"/>
      <c r="E72" s="55"/>
      <c r="F72" s="56"/>
      <c r="G72" s="64"/>
      <c r="H72" s="55"/>
      <c r="I72" s="56"/>
      <c r="J72" s="64"/>
      <c r="K72" s="55"/>
      <c r="L72" s="56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</row>
    <row r="73" spans="2:24"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</row>
    <row r="75" spans="2:24" hidden="1" outlineLevel="1"/>
    <row r="76" spans="2:24" hidden="1" outlineLevel="1">
      <c r="G76" s="73"/>
      <c r="H76" s="73"/>
      <c r="I76" s="73" t="s">
        <v>145</v>
      </c>
      <c r="J76" s="73"/>
      <c r="K76" s="73"/>
      <c r="L76" s="73"/>
      <c r="M76" s="74"/>
      <c r="N76" s="74"/>
      <c r="O76" s="74" t="s">
        <v>146</v>
      </c>
      <c r="P76" s="74"/>
      <c r="Q76" s="74"/>
      <c r="R76" s="74"/>
      <c r="S76" s="73"/>
      <c r="T76" s="73"/>
      <c r="U76" s="73" t="s">
        <v>114</v>
      </c>
      <c r="V76" s="73"/>
      <c r="W76" s="73"/>
      <c r="X76" s="73"/>
    </row>
    <row r="77" spans="2:24" hidden="1" outlineLevel="1">
      <c r="D77" s="73" t="s">
        <v>63</v>
      </c>
      <c r="E77" s="73" t="s">
        <v>147</v>
      </c>
      <c r="F77" s="73" t="s">
        <v>148</v>
      </c>
      <c r="G77" s="73" t="str">
        <f>B4</f>
        <v>2024/2025</v>
      </c>
      <c r="H77" s="73" t="str">
        <f>B5</f>
        <v>2025/2026</v>
      </c>
      <c r="I77" s="75" t="str">
        <f>B6</f>
        <v>2026/2027</v>
      </c>
      <c r="J77" s="73" t="str">
        <f>B7</f>
        <v>2027/2028</v>
      </c>
      <c r="K77" s="73">
        <f>B8</f>
        <v>0</v>
      </c>
      <c r="L77" s="73">
        <f>B9</f>
        <v>0</v>
      </c>
      <c r="M77" s="73" t="str">
        <f t="shared" ref="M77:R77" si="39">G77</f>
        <v>2024/2025</v>
      </c>
      <c r="N77" s="73" t="str">
        <f t="shared" si="39"/>
        <v>2025/2026</v>
      </c>
      <c r="O77" s="73" t="str">
        <f t="shared" si="39"/>
        <v>2026/2027</v>
      </c>
      <c r="P77" s="73" t="str">
        <f t="shared" si="39"/>
        <v>2027/2028</v>
      </c>
      <c r="Q77" s="73">
        <f t="shared" si="39"/>
        <v>0</v>
      </c>
      <c r="R77" s="73">
        <f t="shared" si="39"/>
        <v>0</v>
      </c>
      <c r="S77" s="73" t="str">
        <f t="shared" ref="S77:X77" si="40">G77</f>
        <v>2024/2025</v>
      </c>
      <c r="T77" s="73" t="str">
        <f t="shared" si="40"/>
        <v>2025/2026</v>
      </c>
      <c r="U77" s="73" t="str">
        <f t="shared" si="40"/>
        <v>2026/2027</v>
      </c>
      <c r="V77" s="73" t="str">
        <f t="shared" si="40"/>
        <v>2027/2028</v>
      </c>
      <c r="W77" s="73">
        <f t="shared" si="40"/>
        <v>0</v>
      </c>
      <c r="X77" s="73">
        <f t="shared" si="40"/>
        <v>0</v>
      </c>
    </row>
    <row r="78" spans="2:24" hidden="1" outlineLevel="1">
      <c r="D78" s="76" t="s">
        <v>69</v>
      </c>
      <c r="E78">
        <v>10</v>
      </c>
      <c r="F78">
        <v>1</v>
      </c>
      <c r="G78" s="64">
        <f>C4</f>
        <v>28.113750000000003</v>
      </c>
      <c r="H78" s="64">
        <f>C5</f>
        <v>29.519437500000006</v>
      </c>
      <c r="I78" s="64">
        <f>C6</f>
        <v>30.995409375000008</v>
      </c>
      <c r="J78" s="64">
        <f>C7</f>
        <v>32.545179843750013</v>
      </c>
      <c r="K78" s="64">
        <f>C8</f>
        <v>0</v>
      </c>
      <c r="L78" s="64">
        <f>C9</f>
        <v>0</v>
      </c>
      <c r="M78" s="64">
        <f>C12</f>
        <v>458.81640000000004</v>
      </c>
      <c r="N78" s="64">
        <f>C13</f>
        <v>481.75722000000007</v>
      </c>
      <c r="O78" s="64">
        <f>C14</f>
        <v>505.84508100000011</v>
      </c>
      <c r="P78" s="64">
        <f>C15</f>
        <v>531.13733505000016</v>
      </c>
      <c r="Q78" s="64">
        <f>C16</f>
        <v>0</v>
      </c>
      <c r="R78" s="64">
        <f>C17</f>
        <v>0</v>
      </c>
      <c r="S78" s="77">
        <f>Y4</f>
        <v>0.06</v>
      </c>
      <c r="T78" s="77">
        <f>Y5</f>
        <v>0.08</v>
      </c>
      <c r="U78" s="77">
        <f>Y6</f>
        <v>0.1</v>
      </c>
      <c r="V78" s="77">
        <f>Y7</f>
        <v>0.1</v>
      </c>
      <c r="W78" s="77">
        <f>Y8</f>
        <v>0</v>
      </c>
      <c r="X78" s="77">
        <f>Y9</f>
        <v>0</v>
      </c>
    </row>
    <row r="79" spans="2:24" hidden="1" outlineLevel="1">
      <c r="D79" t="s">
        <v>70</v>
      </c>
      <c r="E79">
        <f>100-11+1</f>
        <v>90</v>
      </c>
      <c r="F79">
        <v>11</v>
      </c>
      <c r="G79" s="64">
        <f>D4</f>
        <v>25.864650000000005</v>
      </c>
      <c r="H79" s="64">
        <f>D5</f>
        <v>27.157882500000007</v>
      </c>
      <c r="I79" s="64">
        <f>D6</f>
        <v>28.515776625000008</v>
      </c>
      <c r="J79" s="64">
        <f>D7</f>
        <v>29.941565456250011</v>
      </c>
      <c r="K79" s="64">
        <f>D8</f>
        <v>0</v>
      </c>
      <c r="L79" s="64">
        <f>D9</f>
        <v>0</v>
      </c>
      <c r="M79" s="64">
        <f>D12</f>
        <v>573.52050000000008</v>
      </c>
      <c r="N79" s="64">
        <f>D13</f>
        <v>602.19652500000007</v>
      </c>
      <c r="O79" s="64">
        <f>D14</f>
        <v>632.30635125000015</v>
      </c>
      <c r="P79" s="64">
        <f>D15</f>
        <v>663.92166881250023</v>
      </c>
      <c r="Q79" s="64">
        <f>D16</f>
        <v>0</v>
      </c>
      <c r="R79" s="64">
        <f>D17</f>
        <v>0</v>
      </c>
    </row>
    <row r="80" spans="2:24" hidden="1" outlineLevel="1">
      <c r="D80" t="s">
        <v>71</v>
      </c>
      <c r="E80">
        <f>1000-101+1</f>
        <v>900</v>
      </c>
      <c r="F80">
        <v>101</v>
      </c>
      <c r="G80" s="64">
        <f>E4</f>
        <v>20.241900000000001</v>
      </c>
      <c r="H80" s="64">
        <f>E5</f>
        <v>21.253995000000003</v>
      </c>
      <c r="I80" s="64">
        <f>E6</f>
        <v>22.316694750000003</v>
      </c>
      <c r="J80" s="64">
        <f>E7</f>
        <v>23.432529487500005</v>
      </c>
      <c r="K80" s="64">
        <f>E8</f>
        <v>0</v>
      </c>
      <c r="L80" s="64">
        <f>E9</f>
        <v>0</v>
      </c>
      <c r="M80" s="64">
        <f>E12</f>
        <v>4014.6435000000006</v>
      </c>
      <c r="N80" s="64">
        <f>E13</f>
        <v>4215.3756750000011</v>
      </c>
      <c r="O80" s="64">
        <f>E14</f>
        <v>4426.1444587500018</v>
      </c>
      <c r="P80" s="64">
        <f>E15</f>
        <v>4647.4516816875021</v>
      </c>
      <c r="Q80" s="64">
        <f>E16</f>
        <v>0</v>
      </c>
      <c r="R80" s="64">
        <f>E17</f>
        <v>0</v>
      </c>
    </row>
    <row r="81" spans="4:19" hidden="1" outlineLevel="1">
      <c r="D81" t="s">
        <v>72</v>
      </c>
      <c r="E81">
        <f>2000-1001+1</f>
        <v>1000</v>
      </c>
      <c r="F81">
        <v>1001</v>
      </c>
      <c r="G81" s="64">
        <f>F4</f>
        <v>15.743700000000002</v>
      </c>
      <c r="H81" s="64">
        <f>F5</f>
        <v>16.530885000000001</v>
      </c>
      <c r="I81" s="64">
        <f>F6</f>
        <v>17.357429250000003</v>
      </c>
      <c r="J81" s="64">
        <f>F7</f>
        <v>18.225300712500005</v>
      </c>
      <c r="K81" s="64">
        <f>F8</f>
        <v>0</v>
      </c>
      <c r="L81" s="64">
        <f>F9</f>
        <v>0</v>
      </c>
      <c r="M81" s="64">
        <f>F12</f>
        <v>4014.6435000000006</v>
      </c>
      <c r="N81" s="64">
        <f>F13</f>
        <v>4215.3756750000011</v>
      </c>
      <c r="O81" s="64">
        <f>F14</f>
        <v>4426.1444587500018</v>
      </c>
      <c r="P81" s="64">
        <f>F15</f>
        <v>4647.4516816875021</v>
      </c>
      <c r="Q81" s="64">
        <f>F16</f>
        <v>0</v>
      </c>
      <c r="R81" s="64">
        <f>F17</f>
        <v>0</v>
      </c>
      <c r="S81" s="64"/>
    </row>
    <row r="82" spans="4:19" hidden="1" outlineLevel="1">
      <c r="D82" t="s">
        <v>73</v>
      </c>
      <c r="E82">
        <f t="shared" ref="E82:E97" si="41">2000-1001+1</f>
        <v>1000</v>
      </c>
      <c r="F82">
        <v>2001</v>
      </c>
      <c r="G82" s="64">
        <f>G4</f>
        <v>12.370050000000001</v>
      </c>
      <c r="H82" s="64">
        <f>G5</f>
        <v>12.988552500000001</v>
      </c>
      <c r="I82" s="64">
        <f>G6</f>
        <v>13.637980125000002</v>
      </c>
      <c r="J82" s="64">
        <f>G7</f>
        <v>14.319879131250003</v>
      </c>
      <c r="K82" s="64">
        <f>G8</f>
        <v>0</v>
      </c>
      <c r="L82" s="64">
        <f>G9</f>
        <v>0</v>
      </c>
      <c r="M82" s="64">
        <f>G12</f>
        <v>4014.6435000000006</v>
      </c>
      <c r="N82" s="64">
        <f>G13</f>
        <v>4215.3756750000011</v>
      </c>
      <c r="O82" s="64">
        <f>G14</f>
        <v>4426.1444587500018</v>
      </c>
      <c r="P82" s="64">
        <f>G15</f>
        <v>4647.4516816875021</v>
      </c>
      <c r="Q82" s="64">
        <f>G16</f>
        <v>0</v>
      </c>
      <c r="R82" s="64">
        <f>G17</f>
        <v>0</v>
      </c>
    </row>
    <row r="83" spans="4:19" hidden="1" outlineLevel="1">
      <c r="D83" t="s">
        <v>74</v>
      </c>
      <c r="E83">
        <f t="shared" si="41"/>
        <v>1000</v>
      </c>
      <c r="F83">
        <v>3001</v>
      </c>
      <c r="G83" s="64">
        <f>H4</f>
        <v>11.2455</v>
      </c>
      <c r="H83" s="64">
        <f>H5</f>
        <v>11.807774999999999</v>
      </c>
      <c r="I83" s="64">
        <f>H6</f>
        <v>12.39816375</v>
      </c>
      <c r="J83" s="64">
        <f>H7</f>
        <v>13.0180719375</v>
      </c>
      <c r="K83" s="64">
        <f>H8</f>
        <v>0</v>
      </c>
      <c r="L83" s="64">
        <f>H9</f>
        <v>0</v>
      </c>
      <c r="M83" s="64">
        <f>H12</f>
        <v>5161.6845000000003</v>
      </c>
      <c r="N83" s="64">
        <f>H13</f>
        <v>5419.7687250000008</v>
      </c>
      <c r="O83" s="64">
        <f>H14</f>
        <v>5690.7571612500014</v>
      </c>
      <c r="P83" s="64">
        <f>H15</f>
        <v>5975.2950193125016</v>
      </c>
      <c r="Q83" s="64">
        <f>H16</f>
        <v>0</v>
      </c>
      <c r="R83" s="64">
        <f>H17</f>
        <v>0</v>
      </c>
    </row>
    <row r="84" spans="4:19" hidden="1" outlineLevel="1">
      <c r="D84" t="s">
        <v>75</v>
      </c>
      <c r="E84">
        <f t="shared" si="41"/>
        <v>1000</v>
      </c>
      <c r="F84">
        <v>4001</v>
      </c>
      <c r="G84" s="64">
        <f>I4</f>
        <v>10.120950000000001</v>
      </c>
      <c r="H84" s="64">
        <f>I5</f>
        <v>10.626997500000002</v>
      </c>
      <c r="I84" s="64">
        <f>I6</f>
        <v>11.158347375000002</v>
      </c>
      <c r="J84" s="64">
        <f>I7</f>
        <v>11.716264743750003</v>
      </c>
      <c r="K84" s="64">
        <f>I8</f>
        <v>0</v>
      </c>
      <c r="L84" s="64">
        <f>I9</f>
        <v>0</v>
      </c>
      <c r="M84" s="64">
        <f>I12</f>
        <v>5161.6845000000003</v>
      </c>
      <c r="N84" s="64">
        <f>I13</f>
        <v>5419.7687250000008</v>
      </c>
      <c r="O84" s="64">
        <f>I14</f>
        <v>5690.7571612500014</v>
      </c>
      <c r="P84" s="64">
        <f>I15</f>
        <v>5975.2950193125016</v>
      </c>
      <c r="Q84" s="64">
        <f>I16</f>
        <v>0</v>
      </c>
      <c r="R84" s="64">
        <f>I17</f>
        <v>0</v>
      </c>
      <c r="S84" s="64"/>
    </row>
    <row r="85" spans="4:19" hidden="1" outlineLevel="1">
      <c r="D85" t="s">
        <v>76</v>
      </c>
      <c r="E85">
        <f t="shared" si="41"/>
        <v>1000</v>
      </c>
      <c r="F85">
        <v>5001</v>
      </c>
      <c r="G85" s="64">
        <f>J4</f>
        <v>8.9964000000000013</v>
      </c>
      <c r="H85" s="64">
        <f>J5</f>
        <v>9.4462200000000021</v>
      </c>
      <c r="I85" s="64">
        <f>J6</f>
        <v>9.9185310000000033</v>
      </c>
      <c r="J85" s="64">
        <f>J7</f>
        <v>10.414457550000003</v>
      </c>
      <c r="K85" s="64">
        <f>J8</f>
        <v>0</v>
      </c>
      <c r="L85" s="64">
        <f>J9</f>
        <v>0</v>
      </c>
      <c r="M85" s="64">
        <f>J12</f>
        <v>5161.6845000000003</v>
      </c>
      <c r="N85" s="64">
        <f>J13</f>
        <v>5419.7687250000008</v>
      </c>
      <c r="O85" s="64">
        <f>J14</f>
        <v>5690.7571612500014</v>
      </c>
      <c r="P85" s="64">
        <f>J15</f>
        <v>5975.2950193125016</v>
      </c>
      <c r="Q85" s="64">
        <f>J16</f>
        <v>0</v>
      </c>
      <c r="R85" s="64">
        <f>J17</f>
        <v>0</v>
      </c>
    </row>
    <row r="86" spans="4:19" hidden="1" outlineLevel="1">
      <c r="D86" t="s">
        <v>77</v>
      </c>
      <c r="E86">
        <f t="shared" si="41"/>
        <v>1000</v>
      </c>
      <c r="F86">
        <v>6001</v>
      </c>
      <c r="G86" s="64">
        <f>K4</f>
        <v>6.7473000000000001</v>
      </c>
      <c r="H86" s="64">
        <f>K5</f>
        <v>7.0846650000000002</v>
      </c>
      <c r="I86" s="64">
        <f>K6</f>
        <v>9.9185310000000033</v>
      </c>
      <c r="J86" s="64">
        <f>K7</f>
        <v>10.414457550000003</v>
      </c>
      <c r="K86" s="64">
        <f>K8</f>
        <v>0</v>
      </c>
      <c r="L86" s="64">
        <f>K9</f>
        <v>0</v>
      </c>
      <c r="M86" s="64">
        <f>K12</f>
        <v>6882.246000000001</v>
      </c>
      <c r="N86" s="64">
        <f>K13</f>
        <v>7226.3583000000017</v>
      </c>
      <c r="O86" s="64">
        <f>K14</f>
        <v>7587.6762150000022</v>
      </c>
      <c r="P86" s="64">
        <f>K15</f>
        <v>7967.0600257500028</v>
      </c>
      <c r="Q86" s="64">
        <f>K16</f>
        <v>0</v>
      </c>
      <c r="R86" s="64">
        <f>K17</f>
        <v>0</v>
      </c>
    </row>
    <row r="87" spans="4:19" hidden="1" outlineLevel="1">
      <c r="D87" t="s">
        <v>78</v>
      </c>
      <c r="E87">
        <f t="shared" si="41"/>
        <v>1000</v>
      </c>
      <c r="F87">
        <v>7001</v>
      </c>
      <c r="G87" s="64">
        <f>L4</f>
        <v>6.7473000000000001</v>
      </c>
      <c r="H87" s="64">
        <f>L5</f>
        <v>7.0846650000000002</v>
      </c>
      <c r="I87" s="64">
        <f>L6</f>
        <v>7.4388982500000003</v>
      </c>
      <c r="J87" s="64">
        <f>L7</f>
        <v>10.414457550000003</v>
      </c>
      <c r="K87" s="64">
        <f>L8</f>
        <v>0</v>
      </c>
      <c r="L87" s="64">
        <f>L9</f>
        <v>0</v>
      </c>
      <c r="M87" s="64">
        <f>L12</f>
        <v>6882.246000000001</v>
      </c>
      <c r="N87" s="64">
        <f>L13</f>
        <v>7226.3583000000017</v>
      </c>
      <c r="O87" s="64">
        <f>L14</f>
        <v>7587.6762150000022</v>
      </c>
      <c r="P87" s="64">
        <f>L15</f>
        <v>7967.0600257500028</v>
      </c>
      <c r="Q87" s="64">
        <f>L16</f>
        <v>0</v>
      </c>
      <c r="R87" s="64">
        <f>L17</f>
        <v>0</v>
      </c>
      <c r="S87" s="64"/>
    </row>
    <row r="88" spans="4:19" hidden="1" outlineLevel="1">
      <c r="D88" t="s">
        <v>79</v>
      </c>
      <c r="E88">
        <f t="shared" si="41"/>
        <v>1000</v>
      </c>
      <c r="F88">
        <v>8001</v>
      </c>
      <c r="G88" s="64">
        <f>M4</f>
        <v>6.7473000000000001</v>
      </c>
      <c r="H88" s="64">
        <f>M5</f>
        <v>7.0846650000000002</v>
      </c>
      <c r="I88" s="64">
        <f>M6</f>
        <v>7.4388982500000003</v>
      </c>
      <c r="J88" s="64">
        <f>M7</f>
        <v>7.8108431625000003</v>
      </c>
      <c r="K88" s="64">
        <f>M8</f>
        <v>0</v>
      </c>
      <c r="L88" s="64">
        <f>M9</f>
        <v>0</v>
      </c>
      <c r="M88" s="64">
        <f>M12</f>
        <v>6882.246000000001</v>
      </c>
      <c r="N88" s="64">
        <f>M13</f>
        <v>7226.3583000000017</v>
      </c>
      <c r="O88" s="64">
        <f>M14</f>
        <v>7587.6762150000022</v>
      </c>
      <c r="P88" s="64">
        <f>M15</f>
        <v>7967.0600257500028</v>
      </c>
      <c r="Q88" s="64">
        <f>M16</f>
        <v>0</v>
      </c>
      <c r="R88" s="64">
        <f>M17</f>
        <v>0</v>
      </c>
    </row>
    <row r="89" spans="4:19" hidden="1" outlineLevel="1">
      <c r="D89" t="s">
        <v>80</v>
      </c>
      <c r="E89">
        <f t="shared" si="41"/>
        <v>1000</v>
      </c>
      <c r="F89">
        <v>9001</v>
      </c>
      <c r="G89" s="64">
        <f>N4</f>
        <v>4.4982000000000006</v>
      </c>
      <c r="H89" s="64">
        <f>N5</f>
        <v>7.0846650000000002</v>
      </c>
      <c r="I89" s="64">
        <f>N6</f>
        <v>7.4388982500000003</v>
      </c>
      <c r="J89" s="64">
        <f>N7</f>
        <v>7.8108431625000003</v>
      </c>
      <c r="K89" s="64">
        <f>N8</f>
        <v>0</v>
      </c>
      <c r="L89" s="64">
        <f>N9</f>
        <v>0</v>
      </c>
      <c r="M89" s="64">
        <f>N12</f>
        <v>6882.246000000001</v>
      </c>
      <c r="N89" s="64">
        <f>N13</f>
        <v>7226.3583000000017</v>
      </c>
      <c r="O89" s="64">
        <f>N14</f>
        <v>7587.6762150000022</v>
      </c>
      <c r="P89" s="64">
        <f>N15</f>
        <v>7967.0600257500028</v>
      </c>
      <c r="Q89" s="64">
        <f>N16</f>
        <v>0</v>
      </c>
      <c r="R89" s="64">
        <f>N17</f>
        <v>0</v>
      </c>
    </row>
    <row r="90" spans="4:19" hidden="1" outlineLevel="1">
      <c r="D90" t="s">
        <v>81</v>
      </c>
      <c r="E90">
        <f t="shared" si="41"/>
        <v>1000</v>
      </c>
      <c r="F90">
        <v>10001</v>
      </c>
      <c r="G90" s="64">
        <f>O4</f>
        <v>4.4982000000000006</v>
      </c>
      <c r="H90" s="64">
        <f>O5</f>
        <v>4.723110000000001</v>
      </c>
      <c r="I90" s="64">
        <f>O6</f>
        <v>7.4388982500000003</v>
      </c>
      <c r="J90" s="64">
        <f>O7</f>
        <v>7.8108431625000003</v>
      </c>
      <c r="K90" s="64">
        <f>O8</f>
        <v>0</v>
      </c>
      <c r="L90" s="64">
        <f>O9</f>
        <v>0</v>
      </c>
      <c r="M90" s="64">
        <f>O12</f>
        <v>6882.246000000001</v>
      </c>
      <c r="N90" s="64">
        <f>O13</f>
        <v>7226.3583000000017</v>
      </c>
      <c r="O90" s="64">
        <f>O14</f>
        <v>7587.6762150000022</v>
      </c>
      <c r="P90" s="64">
        <f>O15</f>
        <v>7967.0600257500028</v>
      </c>
      <c r="Q90" s="64">
        <f>O16</f>
        <v>0</v>
      </c>
      <c r="R90" s="64">
        <f>O17</f>
        <v>0</v>
      </c>
      <c r="S90" s="64"/>
    </row>
    <row r="91" spans="4:19" hidden="1" outlineLevel="1">
      <c r="D91" t="s">
        <v>82</v>
      </c>
      <c r="E91">
        <f t="shared" si="41"/>
        <v>1000</v>
      </c>
      <c r="F91">
        <v>11001</v>
      </c>
      <c r="G91" s="64">
        <f>P4</f>
        <v>4.4982000000000006</v>
      </c>
      <c r="H91" s="64">
        <f>P5</f>
        <v>4.723110000000001</v>
      </c>
      <c r="I91" s="64">
        <f>P6</f>
        <v>4.9592655000000017</v>
      </c>
      <c r="J91" s="64">
        <f>P7</f>
        <v>7.8108431625000003</v>
      </c>
      <c r="K91" s="64">
        <f>P8</f>
        <v>0</v>
      </c>
      <c r="L91" s="64">
        <f>P9</f>
        <v>0</v>
      </c>
      <c r="M91" s="64">
        <f>P12</f>
        <v>6882.246000000001</v>
      </c>
      <c r="N91" s="64">
        <f>P13</f>
        <v>7226.3583000000017</v>
      </c>
      <c r="O91" s="64">
        <f>P14</f>
        <v>7587.6762150000022</v>
      </c>
      <c r="P91" s="64">
        <f>P15</f>
        <v>7967.0600257500028</v>
      </c>
      <c r="Q91" s="64">
        <f>P16</f>
        <v>0</v>
      </c>
      <c r="R91" s="64">
        <f>P17</f>
        <v>0</v>
      </c>
    </row>
    <row r="92" spans="4:19" hidden="1" outlineLevel="1">
      <c r="D92" t="s">
        <v>83</v>
      </c>
      <c r="E92">
        <f t="shared" si="41"/>
        <v>1000</v>
      </c>
      <c r="F92">
        <v>12001</v>
      </c>
      <c r="G92" s="64">
        <f>Q4</f>
        <v>4.4982000000000006</v>
      </c>
      <c r="H92" s="64">
        <f>Q5</f>
        <v>4.723110000000001</v>
      </c>
      <c r="I92" s="64">
        <f>Q6</f>
        <v>4.9592655000000017</v>
      </c>
      <c r="J92" s="64">
        <f>Q7</f>
        <v>5.2072287750000017</v>
      </c>
      <c r="K92" s="64">
        <f>Q8</f>
        <v>0</v>
      </c>
      <c r="L92" s="64">
        <f>Q9</f>
        <v>0</v>
      </c>
      <c r="M92" s="64">
        <f>Q12</f>
        <v>0</v>
      </c>
      <c r="N92" s="64">
        <f>Q13</f>
        <v>0</v>
      </c>
      <c r="O92" s="64">
        <f>Q14</f>
        <v>0</v>
      </c>
      <c r="P92" s="64">
        <f>Q15</f>
        <v>0</v>
      </c>
      <c r="Q92" s="64">
        <f>Q16</f>
        <v>0</v>
      </c>
      <c r="R92" s="64">
        <f>Q17</f>
        <v>0</v>
      </c>
    </row>
    <row r="93" spans="4:19" hidden="1" outlineLevel="1">
      <c r="D93" t="s">
        <v>84</v>
      </c>
      <c r="E93">
        <f t="shared" si="41"/>
        <v>1000</v>
      </c>
      <c r="F93">
        <v>13001</v>
      </c>
      <c r="G93" s="64">
        <f>R4</f>
        <v>4.4982000000000006</v>
      </c>
      <c r="H93" s="64">
        <f>R5</f>
        <v>4.723110000000001</v>
      </c>
      <c r="I93" s="64">
        <f>R6</f>
        <v>4.9592655000000017</v>
      </c>
      <c r="J93" s="64">
        <f>R7</f>
        <v>5.2072287750000017</v>
      </c>
      <c r="K93" s="64">
        <f>R8</f>
        <v>0</v>
      </c>
      <c r="L93" s="64">
        <f>R9</f>
        <v>0</v>
      </c>
      <c r="M93" s="64">
        <f>R12</f>
        <v>0</v>
      </c>
      <c r="N93" s="64">
        <f>R13</f>
        <v>0</v>
      </c>
      <c r="O93" s="64">
        <f>R14</f>
        <v>0</v>
      </c>
      <c r="P93" s="64">
        <f>R15</f>
        <v>0</v>
      </c>
      <c r="Q93" s="64">
        <f>R16</f>
        <v>0</v>
      </c>
      <c r="R93" s="64">
        <f>R17</f>
        <v>0</v>
      </c>
    </row>
    <row r="94" spans="4:19" hidden="1" outlineLevel="1">
      <c r="D94" t="s">
        <v>85</v>
      </c>
      <c r="E94">
        <f t="shared" si="41"/>
        <v>1000</v>
      </c>
      <c r="F94">
        <v>14001</v>
      </c>
      <c r="G94" s="64">
        <f>S4</f>
        <v>4.4982000000000006</v>
      </c>
      <c r="H94" s="64">
        <f>S5</f>
        <v>4.723110000000001</v>
      </c>
      <c r="I94" s="64">
        <f>S6</f>
        <v>4.9592655000000017</v>
      </c>
      <c r="J94" s="64">
        <f>S7</f>
        <v>5.2072287750000017</v>
      </c>
      <c r="K94" s="64">
        <f>S8</f>
        <v>0</v>
      </c>
      <c r="L94" s="64">
        <f>S9</f>
        <v>0</v>
      </c>
      <c r="M94" s="64">
        <f>S12</f>
        <v>0</v>
      </c>
      <c r="N94" s="64">
        <f>S13</f>
        <v>0</v>
      </c>
      <c r="O94" s="64">
        <f>S14</f>
        <v>0</v>
      </c>
      <c r="P94" s="64">
        <f>S15</f>
        <v>0</v>
      </c>
      <c r="Q94" s="64">
        <f>S16</f>
        <v>0</v>
      </c>
      <c r="R94" s="64">
        <f>S17</f>
        <v>0</v>
      </c>
    </row>
    <row r="95" spans="4:19" hidden="1" outlineLevel="1">
      <c r="D95" t="s">
        <v>86</v>
      </c>
      <c r="E95">
        <f t="shared" si="41"/>
        <v>1000</v>
      </c>
      <c r="F95">
        <v>15001</v>
      </c>
      <c r="G95" s="64">
        <f>T4</f>
        <v>4.4982000000000006</v>
      </c>
      <c r="H95" s="64">
        <f>T5</f>
        <v>4.723110000000001</v>
      </c>
      <c r="I95" s="64">
        <f>T6</f>
        <v>4.9592655000000017</v>
      </c>
      <c r="J95" s="64">
        <f>T7</f>
        <v>5.2072287750000017</v>
      </c>
      <c r="K95" s="64">
        <f>T8</f>
        <v>0</v>
      </c>
      <c r="L95" s="64">
        <f>T9</f>
        <v>0</v>
      </c>
      <c r="M95" s="64">
        <f>T12</f>
        <v>0</v>
      </c>
      <c r="N95" s="64">
        <f>T13</f>
        <v>0</v>
      </c>
      <c r="O95" s="64">
        <f>T14</f>
        <v>0</v>
      </c>
      <c r="P95" s="64">
        <f>T15</f>
        <v>0</v>
      </c>
      <c r="Q95" s="64">
        <f>T16</f>
        <v>0</v>
      </c>
      <c r="R95" s="64">
        <f>T17</f>
        <v>0</v>
      </c>
    </row>
    <row r="96" spans="4:19" hidden="1" outlineLevel="1">
      <c r="D96" t="s">
        <v>87</v>
      </c>
      <c r="E96">
        <f t="shared" si="41"/>
        <v>1000</v>
      </c>
      <c r="F96">
        <v>16001</v>
      </c>
      <c r="G96" s="64">
        <f>U4</f>
        <v>4.4982000000000006</v>
      </c>
      <c r="H96" s="64">
        <f>U5</f>
        <v>4.723110000000001</v>
      </c>
      <c r="I96" s="64">
        <f>U6</f>
        <v>4.9592655000000017</v>
      </c>
      <c r="J96" s="64">
        <f>U7</f>
        <v>5.2072287750000017</v>
      </c>
      <c r="K96" s="64">
        <f>U8</f>
        <v>0</v>
      </c>
      <c r="L96" s="64">
        <f>U9</f>
        <v>0</v>
      </c>
      <c r="M96" s="64">
        <f>U12</f>
        <v>0</v>
      </c>
      <c r="N96" s="64">
        <f>U13</f>
        <v>0</v>
      </c>
      <c r="O96" s="64">
        <f>U14</f>
        <v>0</v>
      </c>
      <c r="P96" s="64">
        <f>U15</f>
        <v>0</v>
      </c>
      <c r="Q96" s="64">
        <f>U16</f>
        <v>0</v>
      </c>
      <c r="R96" s="64">
        <f>U17</f>
        <v>0</v>
      </c>
    </row>
    <row r="97" spans="4:39" hidden="1" outlineLevel="1">
      <c r="D97" t="s">
        <v>88</v>
      </c>
      <c r="E97">
        <f t="shared" si="41"/>
        <v>1000</v>
      </c>
      <c r="F97">
        <v>17001</v>
      </c>
      <c r="G97" s="64">
        <f>V4</f>
        <v>4.4982000000000006</v>
      </c>
      <c r="H97" s="64">
        <f>V5</f>
        <v>4.723110000000001</v>
      </c>
      <c r="I97" s="64">
        <f>V6</f>
        <v>4.9592655000000017</v>
      </c>
      <c r="J97" s="64">
        <f>V7</f>
        <v>5.2072287750000017</v>
      </c>
      <c r="K97" s="64">
        <f>V8</f>
        <v>0</v>
      </c>
      <c r="L97" s="64">
        <f>V9</f>
        <v>0</v>
      </c>
      <c r="M97" s="64">
        <f>V12</f>
        <v>0</v>
      </c>
      <c r="N97" s="64">
        <f>V13</f>
        <v>0</v>
      </c>
      <c r="O97" s="64">
        <f>V14</f>
        <v>0</v>
      </c>
      <c r="P97" s="64">
        <f>V15</f>
        <v>0</v>
      </c>
      <c r="Q97" s="64">
        <f>V16</f>
        <v>0</v>
      </c>
      <c r="R97" s="64">
        <f>V17</f>
        <v>0</v>
      </c>
    </row>
    <row r="98" spans="4:39" ht="15.75" hidden="1" outlineLevel="1" thickBot="1">
      <c r="D98" t="s">
        <v>89</v>
      </c>
      <c r="E98">
        <f>22000-18001+1</f>
        <v>4000</v>
      </c>
      <c r="F98">
        <v>18001</v>
      </c>
      <c r="G98" s="64">
        <f>W4</f>
        <v>4.4982000000000006</v>
      </c>
      <c r="H98" s="64">
        <f>W5</f>
        <v>4.723110000000001</v>
      </c>
      <c r="I98" s="64">
        <f>W6</f>
        <v>4.9592655000000017</v>
      </c>
      <c r="J98" s="64">
        <f>W7</f>
        <v>5.2072287750000017</v>
      </c>
      <c r="K98" s="64">
        <f>W8</f>
        <v>0</v>
      </c>
      <c r="L98" s="64">
        <f>W9</f>
        <v>0</v>
      </c>
      <c r="M98" s="64">
        <f>W12</f>
        <v>0</v>
      </c>
      <c r="N98" s="64">
        <f>W13</f>
        <v>0</v>
      </c>
      <c r="O98" s="64">
        <f>W14</f>
        <v>0</v>
      </c>
      <c r="P98" s="64">
        <f>W15</f>
        <v>0</v>
      </c>
      <c r="Q98" s="64">
        <f>W16</f>
        <v>0</v>
      </c>
      <c r="R98" s="64">
        <f>W17</f>
        <v>0</v>
      </c>
    </row>
    <row r="99" spans="4:39" ht="15.75" hidden="1" outlineLevel="1" thickBot="1">
      <c r="F99" s="78">
        <v>9999999999999990</v>
      </c>
      <c r="G99" s="79" t="s">
        <v>149</v>
      </c>
    </row>
    <row r="100" spans="4:39" hidden="1" outlineLevel="1"/>
    <row r="101" spans="4:39" hidden="1" outlineLevel="1"/>
    <row r="102" spans="4:39" hidden="1" outlineLevel="1">
      <c r="E102" s="57" t="str">
        <f>E121</f>
        <v>Site Charges</v>
      </c>
      <c r="F102" s="55"/>
      <c r="L102" s="57" t="str">
        <f>L121</f>
        <v>Support</v>
      </c>
      <c r="M102" s="55"/>
      <c r="T102" s="55" t="str">
        <f>T121</f>
        <v>TOTAL</v>
      </c>
      <c r="U102" s="55"/>
    </row>
    <row r="103" spans="4:39" hidden="1" outlineLevel="1">
      <c r="E103" s="55" t="str">
        <f>E122</f>
        <v>2024/2025</v>
      </c>
      <c r="F103" s="56">
        <f>E123</f>
        <v>40850.403300000005</v>
      </c>
      <c r="L103" s="55" t="str">
        <f>L122</f>
        <v>2024/2025</v>
      </c>
      <c r="M103" s="56">
        <f>N115</f>
        <v>4014.6435000000006</v>
      </c>
      <c r="T103" s="55" t="str">
        <f>T122</f>
        <v>2024/2025</v>
      </c>
      <c r="U103" s="56">
        <f>T123</f>
        <v>44865.046800000004</v>
      </c>
    </row>
    <row r="104" spans="4:39" hidden="1" outlineLevel="1">
      <c r="E104" s="55" t="str">
        <f>F122</f>
        <v>2025/2026</v>
      </c>
      <c r="F104" s="56">
        <f>F123</f>
        <v>42892.923465000007</v>
      </c>
      <c r="L104" s="55" t="str">
        <f>M122</f>
        <v>2025/2026</v>
      </c>
      <c r="M104" s="56">
        <f>O115</f>
        <v>4215.3756750000011</v>
      </c>
      <c r="T104" s="55" t="str">
        <f>U122</f>
        <v>2025/2026</v>
      </c>
      <c r="U104" s="56">
        <f>U123</f>
        <v>47108.29914000001</v>
      </c>
    </row>
    <row r="105" spans="4:39" hidden="1" outlineLevel="1">
      <c r="E105" s="55" t="str">
        <f>G122</f>
        <v>2026/2027</v>
      </c>
      <c r="F105" s="56">
        <f>G123</f>
        <v>45037.569638250003</v>
      </c>
      <c r="L105" s="55" t="str">
        <f>N122</f>
        <v>2026/2027</v>
      </c>
      <c r="M105" s="56">
        <f>P115</f>
        <v>4426.1444587500018</v>
      </c>
      <c r="T105" s="55" t="str">
        <f>V122</f>
        <v>2026/2027</v>
      </c>
      <c r="U105" s="56">
        <f>V123</f>
        <v>49463.714097000004</v>
      </c>
    </row>
    <row r="106" spans="4:39" hidden="1" outlineLevel="1">
      <c r="E106" s="55" t="str">
        <f>H122</f>
        <v>2027/2028</v>
      </c>
      <c r="F106" s="56">
        <f>H123</f>
        <v>47289.448120162502</v>
      </c>
      <c r="L106" s="55" t="str">
        <f>O122</f>
        <v>2027/2028</v>
      </c>
      <c r="M106" s="56">
        <f>Q115</f>
        <v>4647.4516816875021</v>
      </c>
      <c r="T106" s="55" t="str">
        <f>W122</f>
        <v>2027/2028</v>
      </c>
      <c r="U106" s="56">
        <f>W123</f>
        <v>51936.899801850006</v>
      </c>
    </row>
    <row r="107" spans="4:39" hidden="1" outlineLevel="1">
      <c r="E107" s="55">
        <f>I122</f>
        <v>0</v>
      </c>
      <c r="F107" s="56">
        <f>I123</f>
        <v>0</v>
      </c>
      <c r="L107" s="55">
        <f>P122</f>
        <v>0</v>
      </c>
      <c r="M107" s="56">
        <f>R115</f>
        <v>0</v>
      </c>
      <c r="T107" s="55">
        <f>X122</f>
        <v>0</v>
      </c>
      <c r="U107" s="56">
        <f>X123</f>
        <v>0</v>
      </c>
      <c r="AI107" s="64"/>
      <c r="AJ107" s="64"/>
      <c r="AK107" s="64"/>
      <c r="AL107" s="64"/>
      <c r="AM107" s="64"/>
    </row>
    <row r="108" spans="4:39" hidden="1" outlineLevel="1">
      <c r="E108" s="55">
        <f>J122</f>
        <v>0</v>
      </c>
      <c r="F108" s="56">
        <f>J123</f>
        <v>0</v>
      </c>
      <c r="L108" s="55">
        <f>Q122</f>
        <v>0</v>
      </c>
      <c r="M108" s="56">
        <f>S115</f>
        <v>0</v>
      </c>
      <c r="T108" s="55">
        <f>Y122</f>
        <v>0</v>
      </c>
      <c r="U108" s="56">
        <f>Y123</f>
        <v>0</v>
      </c>
      <c r="AM108" s="64"/>
    </row>
    <row r="109" spans="4:39" hidden="1" outlineLevel="1"/>
    <row r="110" spans="4:39" hidden="1" outlineLevel="1"/>
    <row r="111" spans="4:39" ht="15.75" hidden="1" outlineLevel="1" thickBot="1"/>
    <row r="112" spans="4:39" ht="15.75" hidden="1" outlineLevel="1" thickBot="1">
      <c r="E112" s="73"/>
      <c r="F112" s="73"/>
      <c r="G112" s="73" t="s">
        <v>150</v>
      </c>
      <c r="H112" s="73"/>
      <c r="I112" s="73"/>
      <c r="J112" s="73"/>
      <c r="K112" s="73"/>
      <c r="N112" s="78" t="s">
        <v>146</v>
      </c>
      <c r="O112" s="71"/>
      <c r="P112" s="71"/>
      <c r="Q112" s="71"/>
      <c r="R112" s="71"/>
      <c r="S112" s="79"/>
      <c r="U112" s="78" t="s">
        <v>151</v>
      </c>
      <c r="V112" s="71"/>
      <c r="W112" s="71"/>
      <c r="X112" s="71"/>
      <c r="Y112" s="71"/>
      <c r="Z112" s="79"/>
      <c r="AC112" s="78" t="s">
        <v>152</v>
      </c>
      <c r="AD112" s="71"/>
      <c r="AE112" s="71"/>
      <c r="AF112" s="71"/>
      <c r="AG112" s="71"/>
      <c r="AH112" s="79"/>
    </row>
    <row r="113" spans="1:34" hidden="1" outlineLevel="1">
      <c r="C113" s="80"/>
      <c r="D113" s="80"/>
      <c r="F113" s="81" t="str">
        <f>B4</f>
        <v>2024/2025</v>
      </c>
      <c r="G113" s="81" t="str">
        <f>B5</f>
        <v>2025/2026</v>
      </c>
      <c r="H113" s="81" t="str">
        <f>B6</f>
        <v>2026/2027</v>
      </c>
      <c r="I113" s="81" t="str">
        <f>B7</f>
        <v>2027/2028</v>
      </c>
      <c r="J113" s="82">
        <f>B8</f>
        <v>0</v>
      </c>
      <c r="K113" s="81">
        <f>B9</f>
        <v>0</v>
      </c>
      <c r="N113" s="81" t="str">
        <f>F113</f>
        <v>2024/2025</v>
      </c>
      <c r="O113" s="81" t="str">
        <f t="shared" ref="O113:S113" si="42">G113</f>
        <v>2025/2026</v>
      </c>
      <c r="P113" s="81" t="str">
        <f t="shared" si="42"/>
        <v>2026/2027</v>
      </c>
      <c r="Q113" s="81" t="str">
        <f t="shared" si="42"/>
        <v>2027/2028</v>
      </c>
      <c r="R113" s="81">
        <f t="shared" si="42"/>
        <v>0</v>
      </c>
      <c r="S113" s="81">
        <f t="shared" si="42"/>
        <v>0</v>
      </c>
      <c r="U113" t="str">
        <f>N113</f>
        <v>2024/2025</v>
      </c>
      <c r="V113" t="str">
        <f t="shared" ref="V113:Z113" si="43">O113</f>
        <v>2025/2026</v>
      </c>
      <c r="W113" t="str">
        <f t="shared" si="43"/>
        <v>2026/2027</v>
      </c>
      <c r="X113" t="str">
        <f t="shared" si="43"/>
        <v>2027/2028</v>
      </c>
      <c r="Y113">
        <f t="shared" si="43"/>
        <v>0</v>
      </c>
      <c r="Z113">
        <f t="shared" si="43"/>
        <v>0</v>
      </c>
      <c r="AC113" s="81" t="str">
        <f>U113</f>
        <v>2024/2025</v>
      </c>
      <c r="AD113" s="81" t="str">
        <f t="shared" ref="AD113:AH113" si="44">V113</f>
        <v>2025/2026</v>
      </c>
      <c r="AE113" s="81" t="str">
        <f t="shared" si="44"/>
        <v>2026/2027</v>
      </c>
      <c r="AF113" s="81" t="str">
        <f t="shared" si="44"/>
        <v>2027/2028</v>
      </c>
      <c r="AG113" s="81">
        <f t="shared" si="44"/>
        <v>0</v>
      </c>
      <c r="AH113" s="81">
        <f t="shared" si="44"/>
        <v>0</v>
      </c>
    </row>
    <row r="114" spans="1:34" hidden="1" outlineLevel="1">
      <c r="A114" s="57" t="s">
        <v>153</v>
      </c>
      <c r="B114" s="57" t="s">
        <v>154</v>
      </c>
      <c r="C114" s="83" t="s">
        <v>155</v>
      </c>
      <c r="D114" s="83" t="s">
        <v>156</v>
      </c>
      <c r="E114" s="83"/>
      <c r="F114" s="84"/>
      <c r="G114" s="84"/>
      <c r="H114" s="84"/>
      <c r="I114" s="85"/>
      <c r="J114" s="86"/>
      <c r="K114" s="87"/>
      <c r="N114" s="81"/>
      <c r="O114" s="81"/>
      <c r="P114" s="81"/>
      <c r="Q114" s="81"/>
      <c r="R114" s="88"/>
      <c r="S114" s="81"/>
      <c r="Y114" s="89"/>
      <c r="Z114" s="89"/>
    </row>
    <row r="115" spans="1:34" hidden="1" outlineLevel="1">
      <c r="A115" s="90">
        <f>'Quote Generator'!C7</f>
        <v>0</v>
      </c>
      <c r="B115" s="90" t="str">
        <f>'Quote Generator'!C8</f>
        <v>Integrator &gt;100</v>
      </c>
      <c r="C115" s="91">
        <f>'Quote Generator'!C12</f>
        <v>2346</v>
      </c>
      <c r="D115" s="91"/>
      <c r="E115" s="92"/>
      <c r="F115" s="92">
        <f t="array" ref="F115">IF($B$115=$AM$8,IF(SUM(IF(IF($C115&gt;=$F$79:$F$99,$F$79:$F$99-$F$78:$F$98,$C115-$F$78:$F$98+1)&gt;0,IF($C115&gt;=$F$79:$F$99,$F$79:$F$99-$F$78:$F$98,$C115-$F$78:$F$98+1),0)*G$78:G$98)&lt;$X$4,SUM(IF(IF($C115&gt;=$F$79:$F$99,$F$79:$F$99-$F$78:$F$98,$C115-$F$78:$F$98+1)&gt;0,IF($C115&gt;=$F$79:$F$99,$F$79:$F$99-$F$78:$F$98,$C115-$F$78:$F$98+1),0)*G$78:G$98),$X$4),IF(SUM(IF(IF($C115&gt;=$F$79:$F$99,$F$79:$F$99-$F$78:$F$98,$C115-$F$78:$F$98+1)&gt;0,IF($C115&gt;=$F$79:$F$99,$F$79:$F$99-$F$78:$F$98,$C115-$F$78:$F$98+1),0)*G$78:G$98)&lt;$F$99,SUM(IF(IF($C115&gt;=$F$79:$F$99,$F$79:$F$99-$F$78:$F$98,$C115-$F$78:$F$98+1)&gt;0,IF($C115&gt;=$F$79:$F$99,$F$79:$F$99-$F$78:$F$98,$C115-$F$78:$F$98+1),0)*G$78:G$98),$F$99))</f>
        <v>40850.403300000005</v>
      </c>
      <c r="G115" s="92">
        <f t="array" ref="G115">IF($B$115=$AM$8,IF(SUM(IF(IF($C115&gt;=$F$79:$F$99,$F$79:$F$99-$F$78:$F$98,$C115-$F$78:$F$98+1)&gt;0,IF($C115&gt;=$F$79:$F$99,$F$79:$F$99-$F$78:$F$98,$C115-$F$78:$F$98+1),0)*H$78:H$98)&lt;$X$5,SUM(IF(IF($C115&gt;=$F$79:$F$99,$F$79:$F$99-$F$78:$F$98,$C115-$F$78:$F$98+1)&gt;0,IF($C115&gt;=$F$79:$F$99,$F$79:$F$99-$F$78:$F$98,$C115-$F$78:$F$98+1),0)*H$78:H$98),$X$5),IF(SUM(IF(IF($C115&gt;=$F$79:$F$99,$F$79:$F$99-$F$78:$F$98,$C115-$F$78:$F$98+1)&gt;0,IF($C115&gt;=$F$79:$F$99,$F$79:$F$99-$F$78:$F$98,$C115-$F$78:$F$98+1),0)*H$78:H$98)&lt;$F$99,SUM(IF(IF($C115&gt;=$F$79:$F$99,$F$79:$F$99-$F$78:$F$98,$C115-$F$78:$F$98+1)&gt;0,IF($C115&gt;=$F$79:$F$99,$F$79:$F$99-$F$78:$F$98,$C115-$F$78:$F$98+1),0)*H$78:H$98),$F$99))</f>
        <v>42892.923465000007</v>
      </c>
      <c r="H115" s="92">
        <f t="array" ref="H115">IF($B$115=$AM$8,IF(SUM(IF(IF($C115&gt;=$F$79:$F$99,$F$79:$F$99-$F$78:$F$98,$C115-$F$78:$F$98+1)&gt;0,IF($C115&gt;=$F$79:$F$99,$F$79:$F$99-$F$78:$F$98,$C115-$F$78:$F$98+1),0)*I$78:I$98)&lt;$X$6,SUM(IF(IF($C115&gt;=$F$79:$F$99,$F$79:$F$99-$F$78:$F$98,$C115-$F$78:$F$98+1)&gt;0,IF($C115&gt;=$F$79:$F$99,$F$79:$F$99-$F$78:$F$98,$C115-$F$78:$F$98+1),0)*I$78:I$98),$X$6),IF(SUM(IF(IF($C115&gt;=$F$79:$F$99,$F$79:$F$99-$F$78:$F$98,$C115-$F$78:$F$98+1)&gt;0,IF($C115&gt;=$F$79:$F$99,$F$79:$F$99-$F$78:$F$98,$C115-$F$78:$F$98+1),0)*I$78:I$98)&lt;$F$99,SUM(IF(IF($C115&gt;=$F$79:$F$99,$F$79:$F$99-$F$78:$F$98,$C115-$F$78:$F$98+1)&gt;0,IF($C115&gt;=$F$79:$F$99,$F$79:$F$99-$F$78:$F$98,$C115-$F$78:$F$98+1),0)*I$78:I$98),$F$99))</f>
        <v>45037.569638250003</v>
      </c>
      <c r="I115" s="92">
        <f t="array" ref="I115">IF($B$115=$AM$8,IF(SUM(IF(IF($C115&gt;=$F$79:$F$99,$F$79:$F$99-$F$78:$F$98,$C115-$F$78:$F$98+1)&gt;0,IF($C115&gt;=$F$79:$F$99,$F$79:$F$99-$F$78:$F$98,$C115-$F$78:$F$98+1),0)*J$78:J$98)&lt;$X$7,SUM(IF(IF($C115&gt;=$F$79:$F$99,$F$79:$F$99-$F$78:$F$98,$C115-$F$78:$F$98+1)&gt;0,IF($C115&gt;=$F$79:$F$99,$F$79:$F$99-$F$78:$F$98,$C115-$F$78:$F$98+1),0)*J$78:J$98),$X$7),IF(SUM(IF(IF($C115&gt;=$F$79:$F$99,$F$79:$F$99-$F$78:$F$98,$C115-$F$78:$F$98+1)&gt;0,IF($C115&gt;=$F$79:$F$99,$F$79:$F$99-$F$78:$F$98,$C115-$F$78:$F$98+1),0)*J$78:J$98)&lt;$F$99,SUM(IF(IF($C115&gt;=$F$79:$F$99,$F$79:$F$99-$F$78:$F$98,$C115-$F$78:$F$98+1)&gt;0,IF($C115&gt;=$F$79:$F$99,$F$79:$F$99-$F$78:$F$98,$C115-$F$78:$F$98+1),0)*J$78:J$98),$F$99))</f>
        <v>47289.448120162502</v>
      </c>
      <c r="J115" s="92">
        <f t="array" ref="J115">IF($B$115=$AM$8,IF(SUM(IF(IF($C115&gt;=$F$79:$F$99,$F$79:$F$99-$F$78:$F$98,$C115-$F$78:$F$98+1)&gt;0,IF($C115&gt;=$F$79:$F$99,$F$79:$F$99-$F$78:$F$98,$C115-$F$78:$F$98+1),0)*K$78:K$98)&lt;$X$8,SUM(IF(IF($C115&gt;=$F$79:$F$99,$F$79:$F$99-$F$78:$F$98,$C115-$F$78:$F$98+1)&gt;0,IF($C115&gt;=$F$79:$F$99,$F$79:$F$99-$F$78:$F$98,$C115-$F$78:$F$98+1),0)*K$78:K$98),$X$8),IF(SUM(IF(IF($C115&gt;=$F$79:$F$99,$F$79:$F$99-$F$78:$F$98,$C115-$F$78:$F$98+1)&gt;0,IF($C115&gt;=$F$79:$F$99,$F$79:$F$99-$F$78:$F$98,$C115-$F$78:$F$98+1),0)*K$78:K$98)&lt;$F$99,SUM(IF(IF($C115&gt;=$F$79:$F$99,$F$79:$F$99-$F$78:$F$98,$C115-$F$78:$F$98+1)&gt;0,IF($C115&gt;=$F$79:$F$99,$F$79:$F$99-$F$78:$F$98,$C115-$F$78:$F$98+1),0)*K$78:K$98),$F$99))</f>
        <v>0</v>
      </c>
      <c r="K115" s="92">
        <f t="array" ref="K115">IF($B$115=$AM$8,IF(SUM(IF(IF($C115&gt;=$F$79:$F$99,$F$79:$F$99-$F$78:$F$98,$C115-$F$78:$F$98+1)&gt;0,IF($C115&gt;=$F$79:$F$99,$F$79:$F$99-$F$78:$F$98,$C115-$F$78:$F$98+1),0)*L$78:L$98)&lt;$X$9,SUM(IF(IF($C115&gt;=$F$79:$F$99,$F$79:$F$99-$F$78:$F$98,$C115-$F$78:$F$98+1)&gt;0,IF($C115&gt;=$F$79:$F$99,$F$79:$F$99-$F$78:$F$98,$C115-$F$78:$F$98+1),0)*L$78:L$98),$X$9),IF(SUM(IF(IF($C115&gt;=$F$79:$F$99,$F$79:$F$99-$F$78:$F$98,$C115-$F$78:$F$98+1)&gt;0,IF($C115&gt;=$F$79:$F$99,$F$79:$F$99-$F$78:$F$98,$C115-$F$78:$F$98+1),0)*L$78:L$98)&lt;$F$99,SUM(IF(IF($C115&gt;=$F$79:$F$99,$F$79:$F$99-$F$78:$F$98,$C115-$F$78:$F$98+1)&gt;0,IF($C115&gt;=$F$79:$F$99,$F$79:$F$99-$F$78:$F$98,$C115-$F$78:$F$98+1),0)*L$78:L$98),$F$99))</f>
        <v>0</v>
      </c>
      <c r="N115" s="95">
        <f t="shared" ref="N115:S115" si="45">_xlfn.IFNA(INDEX(M$78:M$98,MATCH($C116,$F$78:$F$98,1)),"")</f>
        <v>4014.6435000000006</v>
      </c>
      <c r="O115" s="92">
        <f t="shared" si="45"/>
        <v>4215.3756750000011</v>
      </c>
      <c r="P115" s="92">
        <f t="shared" si="45"/>
        <v>4426.1444587500018</v>
      </c>
      <c r="Q115" s="93">
        <f t="shared" si="45"/>
        <v>4647.4516816875021</v>
      </c>
      <c r="R115" s="94">
        <f t="shared" si="45"/>
        <v>0</v>
      </c>
      <c r="S115" s="96">
        <f t="shared" si="45"/>
        <v>0</v>
      </c>
      <c r="U115" s="97">
        <f>IF($B115="Aggregator",(F115*(1+S$78)),F115)</f>
        <v>40850.403300000005</v>
      </c>
      <c r="V115" s="97">
        <f t="shared" ref="V115:Z115" si="46">IF($B115="Aggregator",(G115*(1+T$78)),G115)</f>
        <v>42892.923465000007</v>
      </c>
      <c r="W115" s="97">
        <f t="shared" si="46"/>
        <v>45037.569638250003</v>
      </c>
      <c r="X115" s="97">
        <f t="shared" si="46"/>
        <v>47289.448120162502</v>
      </c>
      <c r="Y115" s="97">
        <f t="shared" si="46"/>
        <v>0</v>
      </c>
      <c r="Z115" s="97">
        <f t="shared" si="46"/>
        <v>0</v>
      </c>
      <c r="AC115" s="97">
        <f>N115+U115</f>
        <v>44865.046800000004</v>
      </c>
      <c r="AD115" s="97">
        <f t="shared" ref="AD115:AH115" si="47">O115+V115</f>
        <v>47108.29914000001</v>
      </c>
      <c r="AE115" s="97">
        <f t="shared" si="47"/>
        <v>49463.714097000004</v>
      </c>
      <c r="AF115" s="97">
        <f t="shared" si="47"/>
        <v>51936.899801850006</v>
      </c>
      <c r="AG115" s="97">
        <f t="shared" si="47"/>
        <v>0</v>
      </c>
      <c r="AH115" s="97">
        <f t="shared" si="47"/>
        <v>0</v>
      </c>
    </row>
    <row r="116" spans="1:34" hidden="1" outlineLevel="1">
      <c r="B116" s="57" t="s">
        <v>157</v>
      </c>
      <c r="C116" s="55">
        <f>SUM('Quote Generator'!C12,'Quote Generator'!C26)</f>
        <v>2346</v>
      </c>
      <c r="D116" s="98" t="s">
        <v>66</v>
      </c>
      <c r="E116" s="56"/>
      <c r="F116" s="56">
        <f t="shared" ref="F116:K116" si="48">SUM(F115:F115)</f>
        <v>40850.403300000005</v>
      </c>
      <c r="G116" s="56">
        <f t="shared" si="48"/>
        <v>42892.923465000007</v>
      </c>
      <c r="H116" s="56">
        <f t="shared" si="48"/>
        <v>45037.569638250003</v>
      </c>
      <c r="I116" s="56">
        <f t="shared" si="48"/>
        <v>47289.448120162502</v>
      </c>
      <c r="J116" s="56">
        <f t="shared" si="48"/>
        <v>0</v>
      </c>
      <c r="K116" s="56">
        <f t="shared" si="48"/>
        <v>0</v>
      </c>
      <c r="N116" s="99">
        <f t="shared" ref="N116:S116" si="49">SUM(N115:N115)</f>
        <v>4014.6435000000006</v>
      </c>
      <c r="O116" s="99">
        <f t="shared" si="49"/>
        <v>4215.3756750000011</v>
      </c>
      <c r="P116" s="99">
        <f t="shared" si="49"/>
        <v>4426.1444587500018</v>
      </c>
      <c r="Q116" s="100">
        <f t="shared" si="49"/>
        <v>4647.4516816875021</v>
      </c>
      <c r="R116" s="101">
        <f t="shared" si="49"/>
        <v>0</v>
      </c>
      <c r="S116" s="102">
        <f t="shared" si="49"/>
        <v>0</v>
      </c>
      <c r="U116" s="56">
        <f t="shared" ref="U116:Z116" si="50">SUM(U115:U115)</f>
        <v>40850.403300000005</v>
      </c>
      <c r="V116" s="56">
        <f t="shared" si="50"/>
        <v>42892.923465000007</v>
      </c>
      <c r="W116" s="56">
        <f t="shared" si="50"/>
        <v>45037.569638250003</v>
      </c>
      <c r="X116" s="65">
        <f t="shared" si="50"/>
        <v>47289.448120162502</v>
      </c>
      <c r="Y116" s="103">
        <f t="shared" si="50"/>
        <v>0</v>
      </c>
      <c r="Z116" s="104">
        <f t="shared" si="50"/>
        <v>0</v>
      </c>
      <c r="AB116" s="98" t="s">
        <v>66</v>
      </c>
      <c r="AC116" s="56">
        <f t="shared" ref="AC116:AH116" si="51">SUM(AC115:AC115)</f>
        <v>44865.046800000004</v>
      </c>
      <c r="AD116" s="56">
        <f t="shared" si="51"/>
        <v>47108.29914000001</v>
      </c>
      <c r="AE116" s="56">
        <f t="shared" si="51"/>
        <v>49463.714097000004</v>
      </c>
      <c r="AF116" s="56">
        <f t="shared" si="51"/>
        <v>51936.899801850006</v>
      </c>
      <c r="AG116" s="56">
        <f t="shared" si="51"/>
        <v>0</v>
      </c>
      <c r="AH116" s="56">
        <f t="shared" si="51"/>
        <v>0</v>
      </c>
    </row>
    <row r="117" spans="1:34" hidden="1" outlineLevel="1"/>
    <row r="118" spans="1:34" hidden="1" outlineLevel="1"/>
    <row r="119" spans="1:34" hidden="1" outlineLevel="1"/>
    <row r="120" spans="1:34" ht="15.75" collapsed="1" thickBot="1"/>
    <row r="121" spans="1:34" ht="15.75" thickBot="1">
      <c r="E121" s="105" t="s">
        <v>62</v>
      </c>
      <c r="F121" s="106"/>
      <c r="G121" s="106"/>
      <c r="H121" s="106"/>
      <c r="I121" s="106"/>
      <c r="J121" s="107"/>
      <c r="L121" s="105" t="s">
        <v>146</v>
      </c>
      <c r="M121" s="106"/>
      <c r="N121" s="106"/>
      <c r="O121" s="106"/>
      <c r="P121" s="106"/>
      <c r="Q121" s="107"/>
      <c r="T121" s="108" t="s">
        <v>66</v>
      </c>
      <c r="U121" s="71"/>
      <c r="V121" s="71"/>
      <c r="W121" s="71"/>
      <c r="X121" s="71"/>
      <c r="Y121" s="79"/>
    </row>
    <row r="122" spans="1:34">
      <c r="A122" s="57" t="s">
        <v>153</v>
      </c>
      <c r="B122" s="57" t="s">
        <v>154</v>
      </c>
      <c r="C122" s="83" t="s">
        <v>155</v>
      </c>
      <c r="E122" s="84" t="str">
        <f t="shared" ref="E122:J122" si="52">F113</f>
        <v>2024/2025</v>
      </c>
      <c r="F122" s="84" t="str">
        <f t="shared" si="52"/>
        <v>2025/2026</v>
      </c>
      <c r="G122" s="84" t="str">
        <f t="shared" si="52"/>
        <v>2026/2027</v>
      </c>
      <c r="H122" s="84" t="str">
        <f t="shared" si="52"/>
        <v>2027/2028</v>
      </c>
      <c r="I122" s="84">
        <f t="shared" si="52"/>
        <v>0</v>
      </c>
      <c r="J122" s="84">
        <f t="shared" si="52"/>
        <v>0</v>
      </c>
      <c r="L122" s="84" t="str">
        <f>N113</f>
        <v>2024/2025</v>
      </c>
      <c r="M122" s="84" t="str">
        <f t="shared" ref="M122:Q122" si="53">O113</f>
        <v>2025/2026</v>
      </c>
      <c r="N122" s="84" t="str">
        <f t="shared" si="53"/>
        <v>2026/2027</v>
      </c>
      <c r="O122" s="84" t="str">
        <f t="shared" si="53"/>
        <v>2027/2028</v>
      </c>
      <c r="P122" s="84">
        <f t="shared" si="53"/>
        <v>0</v>
      </c>
      <c r="Q122" s="84">
        <f t="shared" si="53"/>
        <v>0</v>
      </c>
      <c r="T122" s="84" t="str">
        <f>L122</f>
        <v>2024/2025</v>
      </c>
      <c r="U122" s="84" t="str">
        <f t="shared" ref="U122:Y122" si="54">M122</f>
        <v>2025/2026</v>
      </c>
      <c r="V122" s="84" t="str">
        <f t="shared" si="54"/>
        <v>2026/2027</v>
      </c>
      <c r="W122" s="84" t="str">
        <f t="shared" si="54"/>
        <v>2027/2028</v>
      </c>
      <c r="X122" s="84">
        <f t="shared" si="54"/>
        <v>0</v>
      </c>
      <c r="Y122" s="84">
        <f t="shared" si="54"/>
        <v>0</v>
      </c>
    </row>
    <row r="123" spans="1:34">
      <c r="A123" s="90">
        <f>A115</f>
        <v>0</v>
      </c>
      <c r="B123" s="90" t="str">
        <f t="shared" ref="B123:C123" si="55">B115</f>
        <v>Integrator &gt;100</v>
      </c>
      <c r="C123" s="90">
        <f t="shared" si="55"/>
        <v>2346</v>
      </c>
      <c r="E123" s="109">
        <f>U115</f>
        <v>40850.403300000005</v>
      </c>
      <c r="F123" s="109">
        <f t="shared" ref="F123:J123" si="56">V115</f>
        <v>42892.923465000007</v>
      </c>
      <c r="G123" s="109">
        <f t="shared" si="56"/>
        <v>45037.569638250003</v>
      </c>
      <c r="H123" s="109">
        <f t="shared" si="56"/>
        <v>47289.448120162502</v>
      </c>
      <c r="I123" s="109">
        <f t="shared" si="56"/>
        <v>0</v>
      </c>
      <c r="J123" s="109">
        <f t="shared" si="56"/>
        <v>0</v>
      </c>
      <c r="L123" s="95">
        <f>N115</f>
        <v>4014.6435000000006</v>
      </c>
      <c r="M123" s="95">
        <f t="shared" ref="M123:Q123" si="57">O115</f>
        <v>4215.3756750000011</v>
      </c>
      <c r="N123" s="95">
        <f t="shared" si="57"/>
        <v>4426.1444587500018</v>
      </c>
      <c r="O123" s="95">
        <f t="shared" si="57"/>
        <v>4647.4516816875021</v>
      </c>
      <c r="P123" s="95">
        <f t="shared" si="57"/>
        <v>0</v>
      </c>
      <c r="Q123" s="95">
        <f t="shared" si="57"/>
        <v>0</v>
      </c>
      <c r="S123" s="98" t="s">
        <v>66</v>
      </c>
      <c r="T123" s="97">
        <f>E123+L123</f>
        <v>44865.046800000004</v>
      </c>
      <c r="U123" s="97">
        <f t="shared" ref="U123:Y123" si="58">F123+M123</f>
        <v>47108.29914000001</v>
      </c>
      <c r="V123" s="97">
        <f t="shared" si="58"/>
        <v>49463.714097000004</v>
      </c>
      <c r="W123" s="97">
        <f t="shared" si="58"/>
        <v>51936.899801850006</v>
      </c>
      <c r="X123" s="97">
        <f t="shared" si="58"/>
        <v>0</v>
      </c>
      <c r="Y123" s="97">
        <f t="shared" si="58"/>
        <v>0</v>
      </c>
    </row>
    <row r="124" spans="1:34">
      <c r="B124" s="90" t="s">
        <v>157</v>
      </c>
      <c r="C124" s="90">
        <f>C116</f>
        <v>2346</v>
      </c>
    </row>
    <row r="133" spans="34:39">
      <c r="AH133" s="64"/>
      <c r="AI133" s="64"/>
      <c r="AJ133" s="64"/>
      <c r="AK133" s="64"/>
      <c r="AL133" s="64"/>
    </row>
    <row r="134" spans="34:39">
      <c r="AM134" s="64"/>
    </row>
    <row r="135" spans="34:39">
      <c r="AH135" s="64"/>
      <c r="AI135" s="64"/>
      <c r="AJ135" s="64"/>
      <c r="AK135" s="64"/>
      <c r="AL135" s="64"/>
    </row>
    <row r="136" spans="34:39">
      <c r="AM136" s="64"/>
    </row>
    <row r="137" spans="34:39">
      <c r="AH137" s="64"/>
      <c r="AI137" s="64"/>
      <c r="AJ137" s="64"/>
      <c r="AK137" s="64"/>
      <c r="AL137" s="64"/>
    </row>
    <row r="138" spans="34:39">
      <c r="AM138" s="64"/>
    </row>
  </sheetData>
  <mergeCells count="2">
    <mergeCell ref="X1:Z1"/>
    <mergeCell ref="X3:Z3"/>
  </mergeCells>
  <pageMargins left="0.7" right="0.7" top="0.75" bottom="0.75" header="0.3" footer="0.3"/>
  <pageSetup paperSize="9" orientation="portrait" r:id="rId1"/>
  <ignoredErrors>
    <ignoredError sqref="M6 N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372E7B35B610479EC421B502142C4B" ma:contentTypeVersion="23" ma:contentTypeDescription="Create a new document." ma:contentTypeScope="" ma:versionID="f75903ab8fc9a133fcf2bcb8586b6ea5">
  <xsd:schema xmlns:xsd="http://www.w3.org/2001/XMLSchema" xmlns:xs="http://www.w3.org/2001/XMLSchema" xmlns:p="http://schemas.microsoft.com/office/2006/metadata/properties" xmlns:ns1="http://schemas.microsoft.com/sharepoint/v3" xmlns:ns2="0010c17e-f354-4d7a-8cd8-f5350ded7794" xmlns:ns3="15b62843-99c6-45a4-9ed4-7c89a6c700b8" targetNamespace="http://schemas.microsoft.com/office/2006/metadata/properties" ma:root="true" ma:fieldsID="c5400a57f5c283a59f1bbc85b22a3d7a" ns1:_="" ns2:_="" ns3:_="">
    <xsd:import namespace="http://schemas.microsoft.com/sharepoint/v3"/>
    <xsd:import namespace="0010c17e-f354-4d7a-8cd8-f5350ded7794"/>
    <xsd:import namespace="15b62843-99c6-45a4-9ed4-7c89a6c700b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0c17e-f354-4d7a-8cd8-f5350ded7794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igrationWizIdPermissionLevels" ma:index="11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2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3" nillable="true" ma:displayName="MigrationWizIdSecurityGroups" ma:internalName="MigrationWizIdSecurityGroups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fb924bb-0e72-4bd4-93bd-0eb2938d55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62843-99c6-45a4-9ed4-7c89a6c70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82b7d1-3088-48f6-ac30-1909ab4456ef}" ma:internalName="TaxCatchAll" ma:showField="CatchAllData" ma:web="15b62843-99c6-45a4-9ed4-7c89a6c70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igrationWizIdVersion xmlns="0010c17e-f354-4d7a-8cd8-f5350ded7794" xsi:nil="true"/>
    <lcf76f155ced4ddcb4097134ff3c332f xmlns="0010c17e-f354-4d7a-8cd8-f5350ded7794">
      <Terms xmlns="http://schemas.microsoft.com/office/infopath/2007/PartnerControls"/>
    </lcf76f155ced4ddcb4097134ff3c332f>
    <MigrationWizId xmlns="0010c17e-f354-4d7a-8cd8-f5350ded7794" xsi:nil="true"/>
    <MigrationWizIdPermissions xmlns="0010c17e-f354-4d7a-8cd8-f5350ded7794" xsi:nil="true"/>
    <MigrationWizIdSecurityGroups xmlns="0010c17e-f354-4d7a-8cd8-f5350ded7794" xsi:nil="true"/>
    <MigrationWizIdPermissionLevels xmlns="0010c17e-f354-4d7a-8cd8-f5350ded7794" xsi:nil="true"/>
    <TaxCatchAll xmlns="15b62843-99c6-45a4-9ed4-7c89a6c700b8" xsi:nil="true"/>
    <MigrationWizIdDocumentLibraryPermissions xmlns="0010c17e-f354-4d7a-8cd8-f5350ded7794" xsi:nil="true"/>
  </documentManagement>
</p:properties>
</file>

<file path=customXml/itemProps1.xml><?xml version="1.0" encoding="utf-8"?>
<ds:datastoreItem xmlns:ds="http://schemas.openxmlformats.org/officeDocument/2006/customXml" ds:itemID="{8F6A3F43-788C-4C74-8BB4-28AB41808192}"/>
</file>

<file path=customXml/itemProps2.xml><?xml version="1.0" encoding="utf-8"?>
<ds:datastoreItem xmlns:ds="http://schemas.openxmlformats.org/officeDocument/2006/customXml" ds:itemID="{58D7E3FB-502C-401E-A829-E02C129E3010}"/>
</file>

<file path=customXml/itemProps3.xml><?xml version="1.0" encoding="utf-8"?>
<ds:datastoreItem xmlns:ds="http://schemas.openxmlformats.org/officeDocument/2006/customXml" ds:itemID="{C8A48BFF-9058-4F6C-A911-2920736A4E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Kam Bains</cp:lastModifiedBy>
  <cp:revision/>
  <dcterms:created xsi:type="dcterms:W3CDTF">2020-08-18T12:52:09Z</dcterms:created>
  <dcterms:modified xsi:type="dcterms:W3CDTF">2024-11-12T08:18:17Z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0x01010037372E7B35B610479EC421B502142C4B</vt:lpwstr>
  </property>
  <property fmtid="{D5CDD505-2E9C-101B-9397-08002B2CF9AE}" pid="3" name="MediaServiceImageTags">
    <vt:lpwstr/>
  </property>
</Properties>
</file>